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usha\Downloads\"/>
    </mc:Choice>
  </mc:AlternateContent>
  <xr:revisionPtr revIDLastSave="0" documentId="13_ncr:1_{94C19C97-8846-455D-8788-EDDA71826BF9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HOW TO USE" sheetId="1" r:id="rId1"/>
    <sheet name="INPUT" sheetId="2" r:id="rId2"/>
    <sheet name="COMPUTATION" sheetId="3" r:id="rId3"/>
    <sheet name="SUMMARY &amp; INSIGHT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4" l="1"/>
  <c r="B2" i="4"/>
  <c r="D46" i="3"/>
  <c r="D40" i="3"/>
  <c r="C40" i="3"/>
  <c r="J22" i="4" s="1"/>
  <c r="D36" i="3"/>
  <c r="D42" i="3" s="1"/>
  <c r="C36" i="3"/>
  <c r="C42" i="3" s="1"/>
  <c r="D35" i="3"/>
  <c r="D41" i="3" s="1"/>
  <c r="C35" i="3"/>
  <c r="C41" i="3" s="1"/>
  <c r="D34" i="3"/>
  <c r="C34" i="3"/>
  <c r="D24" i="3"/>
  <c r="C24" i="3"/>
  <c r="D23" i="3"/>
  <c r="C23" i="3"/>
  <c r="D22" i="3"/>
  <c r="C22" i="3"/>
  <c r="D21" i="3"/>
  <c r="C21" i="3"/>
  <c r="D20" i="3"/>
  <c r="C20" i="3"/>
  <c r="D14" i="3"/>
  <c r="C14" i="3"/>
  <c r="D10" i="3"/>
  <c r="C10" i="3"/>
  <c r="D9" i="3"/>
  <c r="C9" i="3"/>
  <c r="C8" i="3"/>
  <c r="D7" i="3"/>
  <c r="C7" i="3"/>
  <c r="B2" i="3"/>
  <c r="C48" i="2"/>
  <c r="C29" i="3" s="1"/>
  <c r="J19" i="4" s="1"/>
  <c r="C46" i="2"/>
  <c r="C47" i="2" s="1"/>
  <c r="D29" i="3" s="1"/>
  <c r="K19" i="4" s="1"/>
  <c r="F31" i="2"/>
  <c r="D54" i="3" s="1"/>
  <c r="C29" i="2"/>
  <c r="C22" i="2"/>
  <c r="C20" i="2"/>
  <c r="C6" i="3" s="1"/>
  <c r="C11" i="3" s="1"/>
  <c r="C26" i="3" s="1"/>
  <c r="F10" i="2"/>
  <c r="C17" i="3" s="1"/>
  <c r="K22" i="4" l="1"/>
  <c r="C59" i="3"/>
  <c r="M31" i="4"/>
  <c r="J18" i="4"/>
  <c r="B8" i="4"/>
  <c r="C60" i="3"/>
  <c r="J13" i="4" s="1"/>
  <c r="E13" i="4"/>
  <c r="B20" i="4"/>
  <c r="C31" i="3"/>
  <c r="E10" i="4"/>
  <c r="D8" i="3"/>
  <c r="D6" i="3"/>
  <c r="D17" i="3"/>
  <c r="C54" i="3"/>
  <c r="C39" i="3" l="1"/>
  <c r="C45" i="3"/>
  <c r="J20" i="4"/>
  <c r="C49" i="3"/>
  <c r="B25" i="4"/>
  <c r="H13" i="4"/>
  <c r="D11" i="3"/>
  <c r="D26" i="3" s="1"/>
  <c r="M32" i="4" l="1"/>
  <c r="K18" i="4"/>
  <c r="D31" i="3"/>
  <c r="H10" i="4"/>
  <c r="B24" i="4"/>
  <c r="B22" i="4"/>
  <c r="J21" i="4"/>
  <c r="C43" i="3"/>
  <c r="C46" i="3"/>
  <c r="J23" i="4" s="1"/>
  <c r="C47" i="3" l="1"/>
  <c r="C50" i="3" s="1"/>
  <c r="D39" i="3"/>
  <c r="K20" i="4"/>
  <c r="D49" i="3"/>
  <c r="B18" i="4"/>
  <c r="K21" i="4" l="1"/>
  <c r="D43" i="3"/>
  <c r="D45" i="3"/>
  <c r="K23" i="4" s="1"/>
  <c r="C51" i="3"/>
  <c r="J24" i="4" s="1"/>
  <c r="C52" i="3" l="1"/>
  <c r="D47" i="3"/>
  <c r="D50" i="3" s="1"/>
  <c r="D51" i="3" l="1"/>
  <c r="K24" i="4" s="1"/>
  <c r="E8" i="4"/>
  <c r="M28" i="4"/>
  <c r="J25" i="4"/>
  <c r="C55" i="3"/>
  <c r="D52" i="3" l="1"/>
  <c r="H8" i="4" l="1"/>
  <c r="M29" i="4"/>
  <c r="K25" i="4"/>
  <c r="B21" i="4"/>
  <c r="D57" i="3"/>
  <c r="D55" i="3"/>
  <c r="C5" i="4"/>
  <c r="B15" i="4"/>
  <c r="C4" i="4"/>
  <c r="C57" i="3"/>
  <c r="B13" i="4"/>
  <c r="B19" i="4"/>
  <c r="K8" i="4"/>
</calcChain>
</file>

<file path=xl/sharedStrings.xml><?xml version="1.0" encoding="utf-8"?>
<sst xmlns="http://schemas.openxmlformats.org/spreadsheetml/2006/main" count="277" uniqueCount="269">
  <si>
    <t>HOW TO USE THIS TOOLKIT</t>
  </si>
  <si>
    <t>Income Tax Calculator — FY 2025-26 (AY 2026-27)</t>
  </si>
  <si>
    <t>CA Rushabh Jamdade</t>
  </si>
  <si>
    <t>WHAT THIS TOOLKIT DOES</t>
  </si>
  <si>
    <t>This free toolkit calculates your income tax for FY 2025-26 under both the New and Old Tax Regimes, compares them, and tells you which one saves you more money.</t>
  </si>
  <si>
    <t>It shows your effective tax rate, how much tax you pay per ₹100 earned, and exactly how much in total exemptions + deductions you need to make the Old Regime worthwhile.</t>
  </si>
  <si>
    <t>Just fill in your details in the INPUT sheet — everything else is auto-calculated. No macros, no complex setup.</t>
  </si>
  <si>
    <t>STEP-BY-STEP GUIDE</t>
  </si>
  <si>
    <t>Step 1</t>
  </si>
  <si>
    <t>Go to the INPUT sheet</t>
  </si>
  <si>
    <t>This is where you enter all your data. Only the blue-shaded cells are editable.</t>
  </si>
  <si>
    <t>Step 2</t>
  </si>
  <si>
    <t>Fill your Personal Details</t>
  </si>
  <si>
    <t>Select age group, Resident/Non-Resident, Salaried/Self-Employed/Pensioner.</t>
  </si>
  <si>
    <t>Step 3</t>
  </si>
  <si>
    <t>Enter Salary details</t>
  </si>
  <si>
    <t>Use your Form 16 (Part B) or salary slip. If a field doesn't apply, leave it as 0.</t>
  </si>
  <si>
    <t>Step 4</t>
  </si>
  <si>
    <t>Fill other income (if any)</t>
  </si>
  <si>
    <t>House property, business income, capital gains, FD interest. Skip what doesn't apply.</t>
  </si>
  <si>
    <t>Step 5</t>
  </si>
  <si>
    <t>Enter your Deductions</t>
  </si>
  <si>
    <t>80C, 80D, NPS, etc. Mostly relevant for Old Regime. Toolkit auto-caps everything.</t>
  </si>
  <si>
    <t>Step 6</t>
  </si>
  <si>
    <t>Enter Taxes Already Paid</t>
  </si>
  <si>
    <t>TDS from salary (Form 16), TDS on FD, advance tax. Helps calculate refund/payable.</t>
  </si>
  <si>
    <t>Step 7</t>
  </si>
  <si>
    <t>Check COMPUTATION sheet</t>
  </si>
  <si>
    <t>See detailed line-by-line calculation for both regimes side-by-side.</t>
  </si>
  <si>
    <t>Step 8</t>
  </si>
  <si>
    <t>Check TAX DASHBOARD</t>
  </si>
  <si>
    <t>Verdict, savings, effective tax rate, breakeven, charts — all in one place.</t>
  </si>
  <si>
    <t>WHERE TO FIND YOUR SALARY DETAILS</t>
  </si>
  <si>
    <t>Field</t>
  </si>
  <si>
    <t>Where to Find / What to Enter</t>
  </si>
  <si>
    <t>Basic Salary</t>
  </si>
  <si>
    <t>Form 16 Part B → 'Basic Salary'. Also on monthly salary slip.</t>
  </si>
  <si>
    <t>DA</t>
  </si>
  <si>
    <t>Dearness Allowance. Many private companies don't have DA — leave 0 if unsure.</t>
  </si>
  <si>
    <t>HRA Received</t>
  </si>
  <si>
    <t>House Rent Allowance from Form 16 Part B. This is what employer PAYS you.</t>
  </si>
  <si>
    <t>LTA</t>
  </si>
  <si>
    <t>Leave Travel Allowance. If you didn't claim it, leave 0.</t>
  </si>
  <si>
    <t>Special Allowance</t>
  </si>
  <si>
    <t>Everything else in salary that isn't Basic, DA, HRA, or LTA.</t>
  </si>
  <si>
    <t>Employer NPS</t>
  </si>
  <si>
    <t>Employer's NPS contribution. Check Form 16 or HR portal. Deductible in BOTH regimes.</t>
  </si>
  <si>
    <t>Monthly Rent</t>
  </si>
  <si>
    <t>Your actual monthly rent. For HRA exemption calculation (Old Regime).</t>
  </si>
  <si>
    <t>Metro / Non-Metro</t>
  </si>
  <si>
    <t>Mumbai, Delhi, Chennai, Kolkata = Metro. Everything else = Non-Metro.</t>
  </si>
  <si>
    <t>DEDUCTIONS &amp; EXEMPTIONS — PLAIN ENGLISH GUIDE</t>
  </si>
  <si>
    <t>Section</t>
  </si>
  <si>
    <t>What It Covers</t>
  </si>
  <si>
    <t>Limit / Notes</t>
  </si>
  <si>
    <t>80C</t>
  </si>
  <si>
    <t>PPF, ELSS mutual funds, LIC premium, NSC,
tuition fees, home loan principal, Sukanya, EPF</t>
  </si>
  <si>
    <t>Max ₹1,50,000 combined.
Old Regime only.</t>
  </si>
  <si>
    <t>80CCD(1B)</t>
  </si>
  <si>
    <t>Your own additional NPS contribution</t>
  </si>
  <si>
    <t>Max ₹50,000 extra.
Old Regime only.</t>
  </si>
  <si>
    <t>80CCD(2)</t>
  </si>
  <si>
    <t>Employer's NPS contribution</t>
  </si>
  <si>
    <t>Up to 14% of Basic + DA.
★ BOTH regimes!</t>
  </si>
  <si>
    <t>80D</t>
  </si>
  <si>
    <t>Health/Mediclaim insurance premium</t>
  </si>
  <si>
    <t>Self: ₹25K (₹50K if senior).
Parents: ₹25K (₹50K if senior). Old only.</t>
  </si>
  <si>
    <t>80E</t>
  </si>
  <si>
    <t>Education loan interest</t>
  </si>
  <si>
    <t>No limit. Old Regime only.</t>
  </si>
  <si>
    <t>80G</t>
  </si>
  <si>
    <t>Donations to approved charities</t>
  </si>
  <si>
    <t>50% or 100% of donation. Old only.</t>
  </si>
  <si>
    <t>80TTA/TTB</t>
  </si>
  <si>
    <t>Savings/deposit interest</t>
  </si>
  <si>
    <t>₹10K (below 60) / ₹50K (60+). Old only.</t>
  </si>
  <si>
    <t>HRA</t>
  </si>
  <si>
    <t>House Rent Allowance exemption</t>
  </si>
  <si>
    <t>Auto-calculated from salary &amp; rent.
Old Regime only.</t>
  </si>
  <si>
    <t>Home Loan</t>
  </si>
  <si>
    <t>Interest on housing loan</t>
  </si>
  <si>
    <t>Up to ₹2L for self-occupied.
Available in both regimes.</t>
  </si>
  <si>
    <t>COMMON QUESTIONS</t>
  </si>
  <si>
    <t>#</t>
  </si>
  <si>
    <t>Question</t>
  </si>
  <si>
    <t>Answer</t>
  </si>
  <si>
    <t>Q1</t>
  </si>
  <si>
    <t>I don't have capital gains / business income.</t>
  </si>
  <si>
    <t>Leave those fields as 0. The toolkit handles it automatically.</t>
  </si>
  <si>
    <t>Q2</t>
  </si>
  <si>
    <t>Which regime should I choose?</t>
  </si>
  <si>
    <t>Check the Dashboard — it shows exactly which regime saves more and by how much.</t>
  </si>
  <si>
    <t>Q3</t>
  </si>
  <si>
    <t>What's the 'Breakeven' on the Dashboard?</t>
  </si>
  <si>
    <t>It's the total exemptions + deductions (HRA + 80C + 80D + NPS + everything) you need in Old Regime to beat New Regime. If yours are lower, stick with New.</t>
  </si>
  <si>
    <t>Q4</t>
  </si>
  <si>
    <t>New Regime vs Old Regime — what's the difference?</t>
  </si>
  <si>
    <t>New: Lower rates, almost no deductions.
Old: Higher rates, but full deductions (HRA, 80C, 80D, etc.).
For most people without big deductions, New wins.</t>
  </si>
  <si>
    <t>Q5</t>
  </si>
  <si>
    <t>Is this accurate for filing?</t>
  </si>
  <si>
    <t>This gives an accurate estimate for most taxpayers. Two edge cases: (1) If your income is very close to ₹50L/₹1Cr/₹2Cr, surcharge marginal relief may reduce your actual tax slightly. (2) For let-out properties with large losses, consult your CA. Always verify final numbers before filing.</t>
  </si>
  <si>
    <t>Q6</t>
  </si>
  <si>
    <t>What tax law does this follow?</t>
  </si>
  <si>
    <t>Income Tax Act, 1961 (not the new IT Act 2025). All provisions are per Union Budget 2025 for FY 2025-26.</t>
  </si>
  <si>
    <t>TOOLKIT STRUCTURE</t>
  </si>
  <si>
    <t>Sheet</t>
  </si>
  <si>
    <t>Purpose</t>
  </si>
  <si>
    <t>1</t>
  </si>
  <si>
    <t>HOW TO USE</t>
  </si>
  <si>
    <t>You are here! Instructions, field guide, deduction reference, FAQs.</t>
  </si>
  <si>
    <t>2</t>
  </si>
  <si>
    <t>INPUT</t>
  </si>
  <si>
    <t>Enter all your income, deductions, and tax details. Only blue cells are editable.</t>
  </si>
  <si>
    <t>3</t>
  </si>
  <si>
    <t>COMPUTATION</t>
  </si>
  <si>
    <t>Detailed line-by-line tax computation — both regimes side by side.</t>
  </si>
  <si>
    <t>4</t>
  </si>
  <si>
    <t>TAX DASHBOARD</t>
  </si>
  <si>
    <t>Visual dashboard — verdict, savings, tax per ₹100, breakeven, charts.</t>
  </si>
  <si>
    <t>Prepared by CA Rushabh Jamdade  •  For estimation purposes  •  Always verify with your CA before filing</t>
  </si>
  <si>
    <t>INCOME TAX CALCULATOR</t>
  </si>
  <si>
    <t>Financial Year 2025-26  |  Assessment Year 2026-27  |  Income Tax Act, 1961</t>
  </si>
  <si>
    <t>Enter your details in the blue-shaded cells below. All other cells are auto-calculated.</t>
  </si>
  <si>
    <t>PERSONAL INFORMATION</t>
  </si>
  <si>
    <t>INCOME FROM BUSINESS / PROFESSION</t>
  </si>
  <si>
    <t>Name (Optional)</t>
  </si>
  <si>
    <t>Gross Receipts / Turnover</t>
  </si>
  <si>
    <t>Age Category</t>
  </si>
  <si>
    <t>Below 60</t>
  </si>
  <si>
    <t>Presumptive Scheme</t>
  </si>
  <si>
    <t>Not Applicable</t>
  </si>
  <si>
    <t>Residential Status</t>
  </si>
  <si>
    <t>Resident</t>
  </si>
  <si>
    <t>Net Profit (if Regular Books)</t>
  </si>
  <si>
    <t>Category</t>
  </si>
  <si>
    <t>Salaried</t>
  </si>
  <si>
    <t>Business Income (auto)</t>
  </si>
  <si>
    <t>City (for HRA — Old Regime)</t>
  </si>
  <si>
    <t>Metro</t>
  </si>
  <si>
    <t>CAPITAL GAINS</t>
  </si>
  <si>
    <t>INCOME FROM SALARY</t>
  </si>
  <si>
    <t>STCG u/s 111A (Listed Equity/MF) @ 20%</t>
  </si>
  <si>
    <t>Basic Salary (Annual) — from Form 16 / salary slip</t>
  </si>
  <si>
    <t>STCG — Other (at Slab Rates)</t>
  </si>
  <si>
    <t>Dearness Allowance (DA) — leave 0 if not applicable</t>
  </si>
  <si>
    <t>LTCG u/s 112A (Listed Equity/MF) @ 12.5%</t>
  </si>
  <si>
    <t>HRA Received — amount your employer pays as HRA</t>
  </si>
  <si>
    <t>LTCG — Other @ 12.5%</t>
  </si>
  <si>
    <t>LTA / Other Exempt Allowances (part of salary)</t>
  </si>
  <si>
    <t>Note: LTCG u/s 112A exempt up to ₹1,25,000</t>
  </si>
  <si>
    <t>Special Allowance / Other Taxable Components</t>
  </si>
  <si>
    <t>Employer NPS Contribution — ★ deductible in BOTH regimes</t>
  </si>
  <si>
    <t>INCOME FROM OTHER SOURCES</t>
  </si>
  <si>
    <t>Gross Salary</t>
  </si>
  <si>
    <t>Interest Income (FD / RD / Savings Account)</t>
  </si>
  <si>
    <t>Monthly Rent Paid — for HRA exemption (Old Regime)</t>
  </si>
  <si>
    <t>Dividend Income (from shares / mutual funds)</t>
  </si>
  <si>
    <t>HRA Exemption (auto-calculated)</t>
  </si>
  <si>
    <t>Family Pension (Gross amount received)</t>
  </si>
  <si>
    <t>Any Other Income (freelance, gifts, etc.)</t>
  </si>
  <si>
    <t>INCOME FROM HOUSE PROPERTY</t>
  </si>
  <si>
    <t>Are Parents Senior Citizens? (for 80D)</t>
  </si>
  <si>
    <t>No</t>
  </si>
  <si>
    <t>Property Type</t>
  </si>
  <si>
    <t>Self-Occupied</t>
  </si>
  <si>
    <t>TAXES ALREADY PAID</t>
  </si>
  <si>
    <t>Annual Rent Received (if you rent out property)</t>
  </si>
  <si>
    <t>TDS from Salary (Form 16)</t>
  </si>
  <si>
    <t>Municipal / Property Taxes Paid (let-out only)</t>
  </si>
  <si>
    <t>TDS from Other Sources</t>
  </si>
  <si>
    <t>Interest on Home Loan (Annual)</t>
  </si>
  <si>
    <t>TCS (Tax Collected at Source)</t>
  </si>
  <si>
    <t>Net Income from House Property (auto)</t>
  </si>
  <si>
    <t>Advance Tax Paid</t>
  </si>
  <si>
    <t>Self-Assessment Tax Paid</t>
  </si>
  <si>
    <t>DEDUCTIONS (Chapter VI-A)</t>
  </si>
  <si>
    <t>TOTAL TAXES PAID</t>
  </si>
  <si>
    <t>Most deductions apply ONLY to Old Regime. Items marked ★ apply to Both Regimes.</t>
  </si>
  <si>
    <t>80C — PPF, ELSS, LIC, NSC, tuition fees (Max ₹1.5L)</t>
  </si>
  <si>
    <t>80CCC — Pension fund (part of 80C limit)</t>
  </si>
  <si>
    <t>80CCD(1) — Your NPS contribution (part of 80C limit)</t>
  </si>
  <si>
    <t>80CCD(1B) — Additional NPS, above 80C (Max ₹50K)</t>
  </si>
  <si>
    <t>★ 80CCD(2) — Employer NPS [BOTH REGIMES]</t>
  </si>
  <si>
    <t>80D — Mediclaim / Health Insurance (Self / Family)</t>
  </si>
  <si>
    <t>80D — Mediclaim / Health Insurance (Parents — see 'Parents Senior?' field →)</t>
  </si>
  <si>
    <t>80E — Education loan interest (no limit)</t>
  </si>
  <si>
    <t>80G — Donations to approved charities</t>
  </si>
  <si>
    <t>80TTA — Savings A/c interest, below 60 (Max ₹10K)</t>
  </si>
  <si>
    <t>80TTB — Deposit interest, seniors 60+ (Max ₹50K)</t>
  </si>
  <si>
    <t>80U — Disability deduction (₹75K / ₹1.25L severe)</t>
  </si>
  <si>
    <t>Other Chapter VI-A deductions</t>
  </si>
  <si>
    <t>80C + 80CCC + 80CCD(1) [Capped ₹1,50,000]</t>
  </si>
  <si>
    <t>TOTAL DEDUCTIONS (Old Regime)</t>
  </si>
  <si>
    <t>Deductions in New Regime (80CCD(2) only)</t>
  </si>
  <si>
    <t>▶  See detailed computation in 'COMPUTATION' sheet  |  See summary in 'SUMMARY &amp; INSIGHTS' sheet  ▶</t>
  </si>
  <si>
    <t>DETAILED TAX COMPUTATION</t>
  </si>
  <si>
    <t>COMPUTATION OF TOTAL INCOME</t>
  </si>
  <si>
    <t>NEW REGIME</t>
  </si>
  <si>
    <t>OLD REGIME</t>
  </si>
  <si>
    <t>A. Income from Salary</t>
  </si>
  <si>
    <t>Less: Standard Deduction</t>
  </si>
  <si>
    <t>Less: HRA Exemption (Old Regime only)</t>
  </si>
  <si>
    <t>Less: LTA / Exempt Allowances (Old Regime only)</t>
  </si>
  <si>
    <t>Less: Employer NPS (deducted in Ch VI-A below)</t>
  </si>
  <si>
    <t>Net Salary Income</t>
  </si>
  <si>
    <t>B. Income from House Property</t>
  </si>
  <si>
    <t>Net Income from House Property</t>
  </si>
  <si>
    <t>C. Income from Business / Profession</t>
  </si>
  <si>
    <t>Business / Professional Income</t>
  </si>
  <si>
    <t>D. Income from Other Sources</t>
  </si>
  <si>
    <t>Interest Income</t>
  </si>
  <si>
    <t>Dividend Income</t>
  </si>
  <si>
    <t>Family Pension (after deduction)</t>
  </si>
  <si>
    <t>Other Income</t>
  </si>
  <si>
    <t>GROSS TOTAL INCOME</t>
  </si>
  <si>
    <t>E. Deductions under Chapter VI-A</t>
  </si>
  <si>
    <t>Chapter VI-A Deductions</t>
  </si>
  <si>
    <t>TOTAL TAXABLE INCOME (Normal)</t>
  </si>
  <si>
    <t>F. Special Rate Incomes (Taxed Separately)</t>
  </si>
  <si>
    <t>STCG u/s 111A @ 20%</t>
  </si>
  <si>
    <t>LTCG u/s 112A @ 12.5% (above ₹1.25L exemption)</t>
  </si>
  <si>
    <t>TAX COMPUTATION</t>
  </si>
  <si>
    <t>Tax on Normal Income (Slab Rates)</t>
  </si>
  <si>
    <t>Tax on STCG u/s 111A @ 20%</t>
  </si>
  <si>
    <t>Tax on LTCG u/s 112A @ 12.5%</t>
  </si>
  <si>
    <t>Tax on LTCG — Other @ 12.5%</t>
  </si>
  <si>
    <t>TOTAL TAX BEFORE REBATE</t>
  </si>
  <si>
    <t>Less: Rebate u/s 87A</t>
  </si>
  <si>
    <t>Less: Marginal Relief on Rebate</t>
  </si>
  <si>
    <t>TAX AFTER REBATE</t>
  </si>
  <si>
    <t>Add: Surcharge</t>
  </si>
  <si>
    <t>Tax + Surcharge</t>
  </si>
  <si>
    <t>Add: Health &amp; Education Cess @ 4%</t>
  </si>
  <si>
    <t>TOTAL TAX LIABILITY</t>
  </si>
  <si>
    <t>Less: Taxes Already Paid</t>
  </si>
  <si>
    <t>NET TAX PAYABLE / (REFUND)</t>
  </si>
  <si>
    <t>TAX SAVINGS (Best Regime vs Other)</t>
  </si>
  <si>
    <t>Total Exemptions + Deductions Claimed (Old Regime)</t>
  </si>
  <si>
    <t>Breakeven: Total Exemptions + Deductions Needed for Old to Win</t>
  </si>
  <si>
    <t>Built by CA Rushabh Jamdade  •  For estimation purposes — verify before filing</t>
  </si>
  <si>
    <t xml:space="preserve">  TAX DASHBOARD</t>
  </si>
  <si>
    <t xml:space="preserve">  TOTAL INCOME</t>
  </si>
  <si>
    <t xml:space="preserve">  NEW REGIME TAX</t>
  </si>
  <si>
    <t xml:space="preserve">  OLD REGIME TAX</t>
  </si>
  <si>
    <t xml:space="preserve">  SAVED</t>
  </si>
  <si>
    <t>Gross Total Income</t>
  </si>
  <si>
    <t>Tax Savings</t>
  </si>
  <si>
    <t xml:space="preserve">  NET PAYABLE / (REFUND)</t>
  </si>
  <si>
    <t xml:space="preserve">  TAX PER ₹100 EARNED</t>
  </si>
  <si>
    <t xml:space="preserve">  EXEMPTIONS + DEDUCTIONS BREAKEVEN</t>
  </si>
  <si>
    <t>Under Best Regime</t>
  </si>
  <si>
    <t>You Claim</t>
  </si>
  <si>
    <t>Need This Much</t>
  </si>
  <si>
    <t xml:space="preserve">  📊  YOUR TAX STORY</t>
  </si>
  <si>
    <t xml:space="preserve">  QUICK COMPARE</t>
  </si>
  <si>
    <t>NEW</t>
  </si>
  <si>
    <t>OLD</t>
  </si>
  <si>
    <t xml:space="preserve">  Gross Income</t>
  </si>
  <si>
    <t xml:space="preserve">  Deductions</t>
  </si>
  <si>
    <t xml:space="preserve">  Taxable Income</t>
  </si>
  <si>
    <t xml:space="preserve">  Slab Tax</t>
  </si>
  <si>
    <t xml:space="preserve">  CG Tax</t>
  </si>
  <si>
    <t xml:space="preserve">  Rebate 87A</t>
  </si>
  <si>
    <t xml:space="preserve">  Surcharge+Cess</t>
  </si>
  <si>
    <t xml:space="preserve">  TOTAL TAX</t>
  </si>
  <si>
    <t>New Regime</t>
  </si>
  <si>
    <t>Old Regime</t>
  </si>
  <si>
    <t>New ETR</t>
  </si>
  <si>
    <t>Old 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</si>
</sst>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₹#,##0"/>
    <numFmt numFmtId="165" formatCode="\₹#,##0;&quot;(₹&quot;#,##0\);\-"/>
    <numFmt numFmtId="166" formatCode="\₹0.00"/>
  </numFmts>
  <fonts count="48" x14ac:knownFonts="1">
    <font>
      <sz val="11"/>
      <color theme="1"/>
      <name val="Calibri"/>
      <family val="2"/>
      <charset val="1"/>
    </font>
    <font>
      <b/>
      <sz val="20"/>
      <color rgb="FFFFFFFF"/>
      <name val="Aptos"/>
      <charset val="1"/>
    </font>
    <font>
      <sz val="11"/>
      <color rgb="FF94A3B8"/>
      <name val="Aptos"/>
      <charset val="1"/>
    </font>
    <font>
      <b/>
      <sz val="10"/>
      <color rgb="FFCBD5E1"/>
      <name val="Aptos"/>
      <charset val="1"/>
    </font>
    <font>
      <b/>
      <sz val="14"/>
      <color rgb="FF0F172A"/>
      <name val="Aptos"/>
      <charset val="1"/>
    </font>
    <font>
      <sz val="10"/>
      <color rgb="FF475569"/>
      <name val="Aptos"/>
      <charset val="1"/>
    </font>
    <font>
      <b/>
      <sz val="10"/>
      <color rgb="FFFFFFFF"/>
      <name val="Aptos"/>
      <charset val="1"/>
    </font>
    <font>
      <b/>
      <sz val="10"/>
      <color rgb="FF0F172A"/>
      <name val="Aptos"/>
      <charset val="1"/>
    </font>
    <font>
      <b/>
      <sz val="10"/>
      <color rgb="FF334155"/>
      <name val="Aptos"/>
      <charset val="1"/>
    </font>
    <font>
      <b/>
      <sz val="10"/>
      <color rgb="FF1D4ED8"/>
      <name val="Aptos"/>
      <charset val="1"/>
    </font>
    <font>
      <b/>
      <sz val="10"/>
      <color rgb="FFD97706"/>
      <name val="Aptos"/>
      <charset val="1"/>
    </font>
    <font>
      <b/>
      <sz val="10"/>
      <color rgb="FF2563EB"/>
      <name val="Aptos"/>
      <charset val="1"/>
    </font>
    <font>
      <i/>
      <sz val="9"/>
      <color rgb="FF64748B"/>
      <name val="Aptos"/>
      <charset val="1"/>
    </font>
    <font>
      <sz val="10"/>
      <color rgb="FF94A3B8"/>
      <name val="Aptos"/>
      <charset val="1"/>
    </font>
    <font>
      <b/>
      <sz val="11"/>
      <color rgb="FFCBD5E1"/>
      <name val="Aptos"/>
      <charset val="1"/>
    </font>
    <font>
      <i/>
      <sz val="10"/>
      <color rgb="FF2563EB"/>
      <name val="Aptos"/>
      <charset val="1"/>
    </font>
    <font>
      <b/>
      <sz val="11"/>
      <color rgb="FFFFFFFF"/>
      <name val="Aptos"/>
      <charset val="1"/>
    </font>
    <font>
      <sz val="10"/>
      <color rgb="FF334155"/>
      <name val="Aptos"/>
      <charset val="1"/>
    </font>
    <font>
      <sz val="10"/>
      <color rgb="FF1D4ED8"/>
      <name val="Aptos"/>
      <charset val="1"/>
    </font>
    <font>
      <b/>
      <sz val="11"/>
      <color rgb="FF0D9488"/>
      <name val="Aptos"/>
      <charset val="1"/>
    </font>
    <font>
      <b/>
      <sz val="16"/>
      <color rgb="FFFFFFFF"/>
      <name val="Aptos"/>
      <charset val="1"/>
    </font>
    <font>
      <b/>
      <sz val="11"/>
      <color rgb="FF0F172A"/>
      <name val="Aptos"/>
      <charset val="1"/>
    </font>
    <font>
      <sz val="10"/>
      <color rgb="FF0F172A"/>
      <name val="Aptos"/>
      <charset val="1"/>
    </font>
    <font>
      <i/>
      <sz val="10"/>
      <color rgb="FF94A3B8"/>
      <name val="Aptos"/>
      <charset val="1"/>
    </font>
    <font>
      <b/>
      <sz val="12"/>
      <color rgb="FF15803D"/>
      <name val="Aptos"/>
      <charset val="1"/>
    </font>
    <font>
      <b/>
      <sz val="10"/>
      <color rgb="FFB45309"/>
      <name val="Aptos"/>
      <charset val="1"/>
    </font>
    <font>
      <b/>
      <sz val="22"/>
      <color rgb="FFFFFFFF"/>
      <name val="Aptos"/>
      <charset val="1"/>
    </font>
    <font>
      <sz val="13"/>
      <color rgb="FFDCFCE7"/>
      <name val="Aptos"/>
      <charset val="1"/>
    </font>
    <font>
      <b/>
      <sz val="9"/>
      <color rgb="FFFFFFFF"/>
      <name val="Aptos"/>
      <charset val="1"/>
    </font>
    <font>
      <b/>
      <sz val="20"/>
      <color rgb="FF22C55E"/>
      <name val="Aptos"/>
      <charset val="1"/>
    </font>
    <font>
      <b/>
      <sz val="20"/>
      <color rgb="FF94A3B8"/>
      <name val="Aptos"/>
      <charset val="1"/>
    </font>
    <font>
      <b/>
      <sz val="16"/>
      <color rgb="FFF59E0B"/>
      <name val="Aptos"/>
      <charset val="1"/>
    </font>
    <font>
      <sz val="9"/>
      <color rgb="FF9CA3AF"/>
      <name val="Aptos"/>
      <charset val="1"/>
    </font>
    <font>
      <b/>
      <sz val="20"/>
      <color rgb="FF14B8A6"/>
      <name val="Aptos"/>
      <charset val="1"/>
    </font>
    <font>
      <b/>
      <sz val="18"/>
      <color rgb="FFF59E0B"/>
      <name val="Aptos"/>
      <charset val="1"/>
    </font>
    <font>
      <b/>
      <sz val="18"/>
      <color rgb="FF9CA3AF"/>
      <name val="Aptos"/>
      <charset val="1"/>
    </font>
    <font>
      <sz val="8"/>
      <color rgb="FF9CA3AF"/>
      <name val="Aptos"/>
      <charset val="1"/>
    </font>
    <font>
      <b/>
      <sz val="12"/>
      <color rgb="FFFFFFFF"/>
      <name val="Aptos"/>
      <charset val="1"/>
    </font>
    <font>
      <b/>
      <sz val="9"/>
      <color rgb="FF22C55E"/>
      <name val="Aptos"/>
      <charset val="1"/>
    </font>
    <font>
      <b/>
      <sz val="9"/>
      <color rgb="FF94A3B8"/>
      <name val="Aptos"/>
      <charset val="1"/>
    </font>
    <font>
      <sz val="10"/>
      <color rgb="FFE5E7EB"/>
      <name val="Aptos"/>
      <charset val="1"/>
    </font>
    <font>
      <sz val="9"/>
      <color rgb="FFE5E7EB"/>
      <name val="Aptos"/>
      <charset val="1"/>
    </font>
    <font>
      <sz val="9"/>
      <color rgb="FF94A3B8"/>
      <name val="Aptos"/>
      <charset val="1"/>
    </font>
    <font>
      <b/>
      <sz val="10"/>
      <color rgb="FFF59E0B"/>
      <name val="Aptos"/>
      <charset val="1"/>
    </font>
    <font>
      <b/>
      <sz val="10"/>
      <color rgb="FF22C55E"/>
      <name val="Aptos"/>
      <charset val="1"/>
    </font>
    <font>
      <b/>
      <sz val="10"/>
      <color rgb="FF94A3B8"/>
      <name val="Aptos"/>
      <charset val="1"/>
    </font>
    <font>
      <sz val="1"/>
      <color rgb="FF111827"/>
      <name val="Cambria"/>
      <charset val="1"/>
    </font>
    <font>
      <sz val="9"/>
      <color rgb="FF64748B"/>
      <name val="Aptos"/>
      <charset val="1"/>
    </font>
  </fonts>
  <fills count="21">
    <fill>
      <patternFill patternType="none"/>
    </fill>
    <fill>
      <patternFill patternType="gray125"/>
    </fill>
    <fill>
      <patternFill patternType="solid">
        <fgColor rgb="FF0F172A"/>
        <bgColor rgb="FF111827"/>
      </patternFill>
    </fill>
    <fill>
      <patternFill patternType="solid">
        <fgColor rgb="FFFFFFFF"/>
        <bgColor rgb="FFF8FAFC"/>
      </patternFill>
    </fill>
    <fill>
      <patternFill patternType="solid">
        <fgColor rgb="FFF1F5F9"/>
        <bgColor rgb="FFEFF6FF"/>
      </patternFill>
    </fill>
    <fill>
      <patternFill patternType="solid">
        <fgColor rgb="FF2563EB"/>
        <bgColor rgb="FF1D4ED8"/>
      </patternFill>
    </fill>
    <fill>
      <patternFill patternType="solid">
        <fgColor rgb="FFF8FAFC"/>
        <bgColor rgb="FFF0FDFA"/>
      </patternFill>
    </fill>
    <fill>
      <patternFill patternType="solid">
        <fgColor rgb="FFEFF6FF"/>
        <bgColor rgb="FFF1F5F9"/>
      </patternFill>
    </fill>
    <fill>
      <patternFill patternType="solid">
        <fgColor rgb="FFFFFBEB"/>
        <bgColor rgb="FFF8FAFC"/>
      </patternFill>
    </fill>
    <fill>
      <patternFill patternType="solid">
        <fgColor rgb="FFF0FDF4"/>
        <bgColor rgb="FFF0FDFA"/>
      </patternFill>
    </fill>
    <fill>
      <patternFill patternType="solid">
        <fgColor rgb="FFF0FDFA"/>
        <bgColor rgb="FFF0FDF4"/>
      </patternFill>
    </fill>
    <fill>
      <patternFill patternType="solid">
        <fgColor rgb="FFE2E8F0"/>
        <bgColor rgb="FFE5E7EB"/>
      </patternFill>
    </fill>
    <fill>
      <patternFill patternType="solid">
        <fgColor rgb="FFDCFCE7"/>
        <bgColor rgb="FFF0FDF4"/>
      </patternFill>
    </fill>
    <fill>
      <patternFill patternType="solid">
        <fgColor rgb="FF111827"/>
        <bgColor rgb="FF0F172A"/>
      </patternFill>
    </fill>
    <fill>
      <patternFill patternType="solid">
        <fgColor rgb="FF16A34A"/>
        <bgColor rgb="FF0D9488"/>
      </patternFill>
    </fill>
    <fill>
      <patternFill patternType="solid">
        <fgColor rgb="FF475569"/>
        <bgColor rgb="FF374151"/>
      </patternFill>
    </fill>
    <fill>
      <patternFill patternType="solid">
        <fgColor rgb="FFD97706"/>
        <bgColor rgb="FFF59E0B"/>
      </patternFill>
    </fill>
    <fill>
      <patternFill patternType="solid">
        <fgColor rgb="FF1F2937"/>
        <bgColor rgb="FF1E293B"/>
      </patternFill>
    </fill>
    <fill>
      <patternFill patternType="solid">
        <fgColor rgb="FF0D9488"/>
        <bgColor rgb="FF16A34A"/>
      </patternFill>
    </fill>
    <fill>
      <patternFill patternType="solid">
        <fgColor rgb="FF7E22CE"/>
        <bgColor rgb="FF800080"/>
      </patternFill>
    </fill>
    <fill>
      <patternFill patternType="solid">
        <fgColor rgb="FF1E293B"/>
        <bgColor rgb="FF1F2937"/>
      </patternFill>
    </fill>
  </fills>
  <borders count="2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medium">
        <color rgb="FF0F172A"/>
      </top>
      <bottom style="medium">
        <color rgb="FF0F172A"/>
      </bottom>
      <diagonal/>
    </border>
    <border>
      <left style="thin">
        <color rgb="FF22C55E"/>
      </left>
      <right/>
      <top style="thin">
        <color rgb="FF22C55E"/>
      </top>
      <bottom/>
      <diagonal/>
    </border>
    <border>
      <left/>
      <right/>
      <top style="thin">
        <color rgb="FF22C55E"/>
      </top>
      <bottom/>
      <diagonal/>
    </border>
    <border>
      <left/>
      <right style="thin">
        <color rgb="FF22C55E"/>
      </right>
      <top style="thin">
        <color rgb="FF22C55E"/>
      </top>
      <bottom/>
      <diagonal/>
    </border>
    <border>
      <left style="thin">
        <color rgb="FF22C55E"/>
      </left>
      <right/>
      <top/>
      <bottom style="thin">
        <color rgb="FF22C55E"/>
      </bottom>
      <diagonal/>
    </border>
    <border>
      <left/>
      <right/>
      <top/>
      <bottom style="thin">
        <color rgb="FF22C55E"/>
      </bottom>
      <diagonal/>
    </border>
    <border>
      <left/>
      <right style="thin">
        <color rgb="FF22C55E"/>
      </right>
      <top/>
      <bottom style="thin">
        <color rgb="FF22C55E"/>
      </bottom>
      <diagonal/>
    </border>
    <border>
      <left style="thin">
        <color rgb="FF374151"/>
      </left>
      <right style="thin">
        <color rgb="FF374151"/>
      </right>
      <top style="thin">
        <color rgb="FF374151"/>
      </top>
      <bottom/>
      <diagonal/>
    </border>
    <border>
      <left style="thin">
        <color rgb="FF374151"/>
      </left>
      <right style="thin">
        <color rgb="FF374151"/>
      </right>
      <top/>
      <bottom/>
      <diagonal/>
    </border>
    <border>
      <left style="thin">
        <color rgb="FF374151"/>
      </left>
      <right style="thin">
        <color rgb="FF374151"/>
      </right>
      <top/>
      <bottom style="thin">
        <color rgb="FF374151"/>
      </bottom>
      <diagonal/>
    </border>
    <border>
      <left style="thin">
        <color rgb="FF374151"/>
      </left>
      <right/>
      <top/>
      <bottom/>
      <diagonal/>
    </border>
    <border>
      <left/>
      <right style="thin">
        <color rgb="FF374151"/>
      </right>
      <top/>
      <bottom/>
      <diagonal/>
    </border>
    <border>
      <left style="thin">
        <color rgb="FF374151"/>
      </left>
      <right/>
      <top/>
      <bottom style="thin">
        <color rgb="FF374151"/>
      </bottom>
      <diagonal/>
    </border>
    <border>
      <left/>
      <right style="thin">
        <color rgb="FF374151"/>
      </right>
      <top/>
      <bottom style="thin">
        <color rgb="FF374151"/>
      </bottom>
      <diagonal/>
    </border>
    <border>
      <left style="thin">
        <color rgb="FF374151"/>
      </left>
      <right/>
      <top style="thin">
        <color rgb="FF374151"/>
      </top>
      <bottom/>
      <diagonal/>
    </border>
    <border>
      <left/>
      <right/>
      <top style="thin">
        <color rgb="FF374151"/>
      </top>
      <bottom/>
      <diagonal/>
    </border>
    <border>
      <left/>
      <right style="thin">
        <color rgb="FF374151"/>
      </right>
      <top style="thin">
        <color rgb="FF374151"/>
      </top>
      <bottom/>
      <diagonal/>
    </border>
    <border>
      <left/>
      <right/>
      <top/>
      <bottom style="thin">
        <color rgb="FF37415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2" fillId="8" borderId="0" xfId="0" applyFont="1" applyFill="1"/>
    <xf numFmtId="0" fontId="15" fillId="7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2" borderId="2" xfId="0" applyFont="1" applyFill="1" applyBorder="1"/>
    <xf numFmtId="0" fontId="5" fillId="3" borderId="0" xfId="0" applyFont="1" applyFill="1" applyAlignment="1">
      <alignment horizontal="left" vertical="top" wrapText="1"/>
    </xf>
    <xf numFmtId="0" fontId="4" fillId="4" borderId="1" xfId="0" applyFont="1" applyFill="1" applyBorder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6" fillId="5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5" fillId="3" borderId="1" xfId="0" applyFont="1" applyFill="1" applyBorder="1" applyAlignment="1">
      <alignment horizontal="left" vertical="top" wrapText="1"/>
    </xf>
    <xf numFmtId="0" fontId="6" fillId="2" borderId="2" xfId="0" applyFont="1" applyFill="1" applyBorder="1"/>
    <xf numFmtId="0" fontId="8" fillId="6" borderId="1" xfId="0" applyFont="1" applyFill="1" applyBorder="1"/>
    <xf numFmtId="0" fontId="8" fillId="3" borderId="1" xfId="0" applyFont="1" applyFill="1" applyBorder="1"/>
    <xf numFmtId="0" fontId="9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/>
    </xf>
    <xf numFmtId="0" fontId="0" fillId="7" borderId="0" xfId="0" applyFill="1"/>
    <xf numFmtId="0" fontId="0" fillId="6" borderId="0" xfId="0" applyFill="1"/>
    <xf numFmtId="0" fontId="16" fillId="2" borderId="2" xfId="0" applyFont="1" applyFill="1" applyBorder="1" applyAlignment="1">
      <alignment horizontal="left" vertical="center"/>
    </xf>
    <xf numFmtId="0" fontId="0" fillId="2" borderId="2" xfId="0" applyFill="1" applyBorder="1"/>
    <xf numFmtId="0" fontId="17" fillId="3" borderId="1" xfId="0" applyFont="1" applyFill="1" applyBorder="1" applyAlignment="1">
      <alignment horizontal="left" vertical="center"/>
    </xf>
    <xf numFmtId="49" fontId="18" fillId="7" borderId="1" xfId="0" applyNumberFormat="1" applyFont="1" applyFill="1" applyBorder="1" applyAlignment="1" applyProtection="1">
      <alignment horizontal="right" vertical="center"/>
      <protection locked="0"/>
    </xf>
    <xf numFmtId="3" fontId="18" fillId="7" borderId="1" xfId="0" applyNumberFormat="1" applyFont="1" applyFill="1" applyBorder="1" applyAlignment="1" applyProtection="1">
      <alignment horizontal="right" vertical="center"/>
      <protection locked="0"/>
    </xf>
    <xf numFmtId="0" fontId="12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right" vertical="center"/>
    </xf>
    <xf numFmtId="0" fontId="12" fillId="6" borderId="0" xfId="0" applyFont="1" applyFill="1"/>
    <xf numFmtId="0" fontId="7" fillId="3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right" vertical="center"/>
    </xf>
    <xf numFmtId="0" fontId="17" fillId="6" borderId="1" xfId="0" applyFont="1" applyFill="1" applyBorder="1"/>
    <xf numFmtId="0" fontId="18" fillId="7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>
      <alignment horizontal="left" vertical="center"/>
    </xf>
    <xf numFmtId="3" fontId="18" fillId="9" borderId="1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0" fillId="11" borderId="1" xfId="0" applyFill="1" applyBorder="1"/>
    <xf numFmtId="3" fontId="22" fillId="3" borderId="1" xfId="0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3" fontId="21" fillId="4" borderId="4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 vertical="center"/>
    </xf>
    <xf numFmtId="3" fontId="24" fillId="12" borderId="4" xfId="0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25" fillId="6" borderId="1" xfId="0" applyFont="1" applyFill="1" applyBorder="1"/>
    <xf numFmtId="3" fontId="25" fillId="6" borderId="1" xfId="0" applyNumberFormat="1" applyFont="1" applyFill="1" applyBorder="1" applyAlignment="1">
      <alignment horizontal="right" vertical="center"/>
    </xf>
    <xf numFmtId="0" fontId="0" fillId="13" borderId="0" xfId="0" applyFill="1"/>
    <xf numFmtId="0" fontId="0" fillId="14" borderId="5" xfId="0" applyFill="1" applyBorder="1"/>
    <xf numFmtId="0" fontId="0" fillId="14" borderId="7" xfId="0" applyFill="1" applyBorder="1"/>
    <xf numFmtId="0" fontId="0" fillId="14" borderId="8" xfId="0" applyFill="1" applyBorder="1"/>
    <xf numFmtId="0" fontId="0" fillId="14" borderId="10" xfId="0" applyFill="1" applyBorder="1"/>
    <xf numFmtId="0" fontId="28" fillId="16" borderId="11" xfId="0" applyFont="1" applyFill="1" applyBorder="1" applyAlignment="1">
      <alignment horizontal="left" vertical="center"/>
    </xf>
    <xf numFmtId="0" fontId="32" fillId="17" borderId="13" xfId="0" applyFont="1" applyFill="1" applyBorder="1" applyAlignment="1">
      <alignment horizontal="center" vertical="center"/>
    </xf>
    <xf numFmtId="0" fontId="38" fillId="20" borderId="19" xfId="0" applyFont="1" applyFill="1" applyBorder="1" applyAlignment="1">
      <alignment horizontal="center" vertical="center"/>
    </xf>
    <xf numFmtId="0" fontId="39" fillId="20" borderId="20" xfId="0" applyFont="1" applyFill="1" applyBorder="1" applyAlignment="1">
      <alignment horizontal="center" vertical="center"/>
    </xf>
    <xf numFmtId="3" fontId="41" fillId="17" borderId="0" xfId="0" applyNumberFormat="1" applyFont="1" applyFill="1" applyAlignment="1">
      <alignment horizontal="right" vertical="center"/>
    </xf>
    <xf numFmtId="3" fontId="42" fillId="17" borderId="15" xfId="0" applyNumberFormat="1" applyFont="1" applyFill="1" applyBorder="1" applyAlignment="1">
      <alignment horizontal="right" vertical="center"/>
    </xf>
    <xf numFmtId="3" fontId="44" fillId="20" borderId="21" xfId="0" applyNumberFormat="1" applyFont="1" applyFill="1" applyBorder="1" applyAlignment="1">
      <alignment horizontal="right" vertical="center"/>
    </xf>
    <xf numFmtId="3" fontId="45" fillId="20" borderId="17" xfId="0" applyNumberFormat="1" applyFont="1" applyFill="1" applyBorder="1" applyAlignment="1">
      <alignment horizontal="right" vertical="center"/>
    </xf>
    <xf numFmtId="0" fontId="46" fillId="13" borderId="0" xfId="0" applyFont="1" applyFill="1"/>
    <xf numFmtId="3" fontId="46" fillId="0" borderId="0" xfId="0" applyNumberFormat="1" applyFont="1"/>
    <xf numFmtId="10" fontId="46" fillId="0" borderId="0" xfId="0" applyNumberFormat="1" applyFont="1"/>
    <xf numFmtId="0" fontId="19" fillId="1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14" borderId="6" xfId="0" applyFont="1" applyFill="1" applyBorder="1" applyAlignment="1">
      <alignment horizontal="center" vertical="center"/>
    </xf>
    <xf numFmtId="0" fontId="27" fillId="14" borderId="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left" vertical="center"/>
    </xf>
    <xf numFmtId="0" fontId="28" fillId="14" borderId="11" xfId="0" applyFont="1" applyFill="1" applyBorder="1" applyAlignment="1">
      <alignment horizontal="left" vertical="center"/>
    </xf>
    <xf numFmtId="0" fontId="28" fillId="15" borderId="11" xfId="0" applyFont="1" applyFill="1" applyBorder="1" applyAlignment="1">
      <alignment horizontal="left" vertical="center"/>
    </xf>
    <xf numFmtId="164" fontId="1" fillId="17" borderId="12" xfId="0" applyNumberFormat="1" applyFont="1" applyFill="1" applyBorder="1" applyAlignment="1">
      <alignment horizontal="center" vertical="center"/>
    </xf>
    <xf numFmtId="164" fontId="29" fillId="17" borderId="12" xfId="0" applyNumberFormat="1" applyFont="1" applyFill="1" applyBorder="1" applyAlignment="1">
      <alignment horizontal="center" vertical="center"/>
    </xf>
    <xf numFmtId="164" fontId="30" fillId="17" borderId="12" xfId="0" applyNumberFormat="1" applyFont="1" applyFill="1" applyBorder="1" applyAlignment="1">
      <alignment horizontal="center" vertical="center"/>
    </xf>
    <xf numFmtId="164" fontId="31" fillId="17" borderId="12" xfId="0" applyNumberFormat="1" applyFont="1" applyFill="1" applyBorder="1" applyAlignment="1">
      <alignment horizontal="center" vertical="center"/>
    </xf>
    <xf numFmtId="0" fontId="32" fillId="17" borderId="13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left" vertical="center"/>
    </xf>
    <xf numFmtId="0" fontId="28" fillId="19" borderId="11" xfId="0" applyFont="1" applyFill="1" applyBorder="1" applyAlignment="1">
      <alignment horizontal="left" vertical="center"/>
    </xf>
    <xf numFmtId="0" fontId="28" fillId="16" borderId="11" xfId="0" applyFont="1" applyFill="1" applyBorder="1" applyAlignment="1">
      <alignment horizontal="left" vertical="center"/>
    </xf>
    <xf numFmtId="165" fontId="33" fillId="17" borderId="12" xfId="0" applyNumberFormat="1" applyFont="1" applyFill="1" applyBorder="1" applyAlignment="1">
      <alignment horizontal="center" vertical="center"/>
    </xf>
    <xf numFmtId="166" fontId="1" fillId="17" borderId="12" xfId="0" applyNumberFormat="1" applyFont="1" applyFill="1" applyBorder="1" applyAlignment="1">
      <alignment horizontal="center" vertical="center"/>
    </xf>
    <xf numFmtId="164" fontId="34" fillId="17" borderId="14" xfId="0" applyNumberFormat="1" applyFont="1" applyFill="1" applyBorder="1" applyAlignment="1">
      <alignment horizontal="center" vertical="center"/>
    </xf>
    <xf numFmtId="164" fontId="35" fillId="17" borderId="15" xfId="0" applyNumberFormat="1" applyFont="1" applyFill="1" applyBorder="1" applyAlignment="1">
      <alignment horizontal="center" vertical="center"/>
    </xf>
    <xf numFmtId="0" fontId="36" fillId="17" borderId="16" xfId="0" applyFont="1" applyFill="1" applyBorder="1" applyAlignment="1">
      <alignment horizontal="center" vertical="center"/>
    </xf>
    <xf numFmtId="0" fontId="36" fillId="17" borderId="17" xfId="0" applyFont="1" applyFill="1" applyBorder="1" applyAlignment="1">
      <alignment horizontal="center" vertical="center"/>
    </xf>
    <xf numFmtId="0" fontId="37" fillId="20" borderId="11" xfId="0" applyFont="1" applyFill="1" applyBorder="1" applyAlignment="1">
      <alignment horizontal="left" vertical="center"/>
    </xf>
    <xf numFmtId="0" fontId="16" fillId="20" borderId="18" xfId="0" applyFont="1" applyFill="1" applyBorder="1" applyAlignment="1">
      <alignment horizontal="left" vertical="center"/>
    </xf>
    <xf numFmtId="0" fontId="40" fillId="17" borderId="12" xfId="0" applyFont="1" applyFill="1" applyBorder="1" applyAlignment="1">
      <alignment horizontal="left" vertical="center" wrapText="1" indent="1"/>
    </xf>
    <xf numFmtId="0" fontId="32" fillId="17" borderId="14" xfId="0" applyFont="1" applyFill="1" applyBorder="1" applyAlignment="1">
      <alignment horizontal="left" vertical="center"/>
    </xf>
    <xf numFmtId="0" fontId="43" fillId="20" borderId="13" xfId="0" applyFont="1" applyFill="1" applyBorder="1" applyAlignment="1">
      <alignment horizontal="left" vertical="center"/>
    </xf>
    <xf numFmtId="0" fontId="6" fillId="20" borderId="16" xfId="0" applyFont="1" applyFill="1" applyBorder="1" applyAlignment="1">
      <alignment horizontal="left" vertical="center"/>
    </xf>
    <xf numFmtId="0" fontId="47" fillId="1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FF6FF"/>
      <rgbColor rgb="FFFF00FF"/>
      <rgbColor rgb="FF00FFFF"/>
      <rgbColor rgb="FF800000"/>
      <rgbColor rgb="FF15803D"/>
      <rgbColor rgb="FF0F172A"/>
      <rgbColor rgb="FF808000"/>
      <rgbColor rgb="FF7E22CE"/>
      <rgbColor rgb="FF0D9488"/>
      <rgbColor rgb="FFB3B3B3"/>
      <rgbColor rgb="FF4F81BD"/>
      <rgbColor rgb="FF94A3B8"/>
      <rgbColor rgb="FF993366"/>
      <rgbColor rgb="FFFFFBEB"/>
      <rgbColor rgb="FFDCFCE7"/>
      <rgbColor rgb="FF660066"/>
      <rgbColor rgb="FFFF8080"/>
      <rgbColor rgb="FF1D4ED8"/>
      <rgbColor rgb="FFCBD5E1"/>
      <rgbColor rgb="FF000080"/>
      <rgbColor rgb="FFFF00FF"/>
      <rgbColor rgb="FFFFFF00"/>
      <rgbColor rgb="FF00FFFF"/>
      <rgbColor rgb="FF800080"/>
      <rgbColor rgb="FF800000"/>
      <rgbColor rgb="FF475569"/>
      <rgbColor rgb="FF0000FF"/>
      <rgbColor rgb="FF22C55E"/>
      <rgbColor rgb="FFF0FDFA"/>
      <rgbColor rgb="FFF0FDF4"/>
      <rgbColor rgb="FFF8FAFC"/>
      <rgbColor rgb="FFE2E8F0"/>
      <rgbColor rgb="FFF1F5F9"/>
      <rgbColor rgb="FFE5E7EB"/>
      <rgbColor rgb="FFD9D9D9"/>
      <rgbColor rgb="FF2563EB"/>
      <rgbColor rgb="FF14B8A6"/>
      <rgbColor rgb="FF99CC00"/>
      <rgbColor rgb="FFFFCC00"/>
      <rgbColor rgb="FFF59E0B"/>
      <rgbColor rgb="FFD97706"/>
      <rgbColor rgb="FF64748B"/>
      <rgbColor rgb="FF9CA3AF"/>
      <rgbColor rgb="FF1E293B"/>
      <rgbColor rgb="FF16A34A"/>
      <rgbColor rgb="FF111827"/>
      <rgbColor rgb="FF374151"/>
      <rgbColor rgb="FFB45309"/>
      <rgbColor rgb="FF993366"/>
      <rgbColor rgb="FF334155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Tax Liability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Tax Amount</c:v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6A34A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7F-4333-87CD-86C8B83EEC47}"/>
              </c:ext>
            </c:extLst>
          </c:dPt>
          <c:dPt>
            <c:idx val="1"/>
            <c:invertIfNegative val="0"/>
            <c:bubble3D val="0"/>
            <c:spPr>
              <a:solidFill>
                <a:srgbClr val="64748B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47F-4333-87CD-86C8B83EEC47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C47F-4333-87CD-86C8B83EEC47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C47F-4333-87CD-86C8B83EE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&amp; INSIGHTS'!$L$28:$L$29</c:f>
              <c:strCache>
                <c:ptCount val="2"/>
                <c:pt idx="0">
                  <c:v>New Regime</c:v>
                </c:pt>
                <c:pt idx="1">
                  <c:v>Old Regime</c:v>
                </c:pt>
              </c:strCache>
            </c:strRef>
          </c:cat>
          <c:val>
            <c:numRef>
              <c:f>'SUMMARY &amp; INSIGHTS'!$M$28:$M$29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7F-4333-87CD-86C8B83E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78526"/>
        <c:axId val="41759345"/>
      </c:barChart>
      <c:catAx>
        <c:axId val="521785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1759345"/>
        <c:crosses val="autoZero"/>
        <c:auto val="1"/>
        <c:lblAlgn val="ctr"/>
        <c:lblOffset val="100"/>
        <c:noMultiLvlLbl val="0"/>
      </c:catAx>
      <c:valAx>
        <c:axId val="4175934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₹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17852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Effective Tax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ETR %</c:v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D9488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3D-4835-BC0A-2ED107E164EF}"/>
              </c:ext>
            </c:extLst>
          </c:dPt>
          <c:dPt>
            <c:idx val="1"/>
            <c:invertIfNegative val="0"/>
            <c:bubble3D val="0"/>
            <c:spPr>
              <a:solidFill>
                <a:srgbClr val="64748B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43D-4835-BC0A-2ED107E164EF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943D-4835-BC0A-2ED107E164EF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943D-4835-BC0A-2ED107E16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&amp; INSIGHTS'!$L$31:$L$32</c:f>
              <c:strCache>
                <c:ptCount val="2"/>
                <c:pt idx="0">
                  <c:v>New ETR</c:v>
                </c:pt>
                <c:pt idx="1">
                  <c:v>Old ETR</c:v>
                </c:pt>
              </c:strCache>
            </c:strRef>
          </c:cat>
          <c:val>
            <c:numRef>
              <c:f>'SUMMARY &amp; INSIGHTS'!$M$31:$M$32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3D-4835-BC0A-2ED107E1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3452"/>
        <c:axId val="21496431"/>
      </c:barChart>
      <c:catAx>
        <c:axId val="348034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496431"/>
        <c:crosses val="autoZero"/>
        <c:auto val="1"/>
        <c:lblAlgn val="ctr"/>
        <c:lblOffset val="100"/>
        <c:noMultiLvlLbl val="0"/>
      </c:catAx>
      <c:valAx>
        <c:axId val="2149643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480345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6</xdr:col>
      <xdr:colOff>85724</xdr:colOff>
      <xdr:row>52</xdr:row>
      <xdr:rowOff>84240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228600</xdr:colOff>
      <xdr:row>26</xdr:row>
      <xdr:rowOff>0</xdr:rowOff>
    </xdr:from>
    <xdr:to>
      <xdr:col>10</xdr:col>
      <xdr:colOff>990600</xdr:colOff>
      <xdr:row>52</xdr:row>
      <xdr:rowOff>84240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7706"/>
  </sheetPr>
  <dimension ref="A1:E69"/>
  <sheetViews>
    <sheetView tabSelected="1" topLeftCell="A37" zoomScaleNormal="100" workbookViewId="0">
      <selection activeCell="L51" sqref="L51"/>
    </sheetView>
  </sheetViews>
  <sheetFormatPr defaultColWidth="8.7109375" defaultRowHeight="15" x14ac:dyDescent="0.25"/>
  <cols>
    <col min="1" max="1" width="3" customWidth="1"/>
    <col min="2" max="2" width="16.7109375" bestFit="1" customWidth="1"/>
    <col min="3" max="3" width="30" customWidth="1"/>
    <col min="4" max="4" width="55" customWidth="1"/>
    <col min="5" max="5" width="3" customWidth="1"/>
  </cols>
  <sheetData>
    <row r="1" spans="1:5" ht="26.25" x14ac:dyDescent="0.25">
      <c r="A1" s="15"/>
      <c r="B1" s="14" t="s">
        <v>0</v>
      </c>
      <c r="C1" s="14"/>
      <c r="D1" s="14"/>
      <c r="E1" s="15"/>
    </row>
    <row r="2" spans="1:5" x14ac:dyDescent="0.25">
      <c r="A2" s="15"/>
      <c r="B2" s="13" t="s">
        <v>1</v>
      </c>
      <c r="C2" s="13"/>
      <c r="D2" s="13"/>
      <c r="E2" s="15"/>
    </row>
    <row r="3" spans="1:5" x14ac:dyDescent="0.25">
      <c r="A3" s="15"/>
      <c r="B3" s="12" t="s">
        <v>2</v>
      </c>
      <c r="C3" s="12"/>
      <c r="D3" s="12"/>
      <c r="E3" s="15"/>
    </row>
    <row r="4" spans="1:5" x14ac:dyDescent="0.25">
      <c r="A4" s="16"/>
      <c r="B4" s="16"/>
      <c r="C4" s="16"/>
      <c r="D4" s="16"/>
      <c r="E4" s="16"/>
    </row>
    <row r="5" spans="1:5" ht="18.75" x14ac:dyDescent="0.3">
      <c r="A5" s="16"/>
      <c r="B5" s="11" t="s">
        <v>3</v>
      </c>
      <c r="C5" s="11"/>
      <c r="D5" s="11"/>
      <c r="E5" s="16"/>
    </row>
    <row r="6" spans="1:5" x14ac:dyDescent="0.25">
      <c r="A6" s="16"/>
      <c r="B6" s="10" t="s">
        <v>4</v>
      </c>
      <c r="C6" s="10"/>
      <c r="D6" s="10"/>
      <c r="E6" s="16"/>
    </row>
    <row r="7" spans="1:5" x14ac:dyDescent="0.25">
      <c r="A7" s="16"/>
      <c r="B7" s="10" t="s">
        <v>5</v>
      </c>
      <c r="C7" s="10"/>
      <c r="D7" s="10"/>
      <c r="E7" s="16"/>
    </row>
    <row r="8" spans="1:5" x14ac:dyDescent="0.25">
      <c r="A8" s="16"/>
      <c r="B8" s="10" t="s">
        <v>6</v>
      </c>
      <c r="C8" s="10"/>
      <c r="D8" s="10"/>
      <c r="E8" s="16"/>
    </row>
    <row r="9" spans="1:5" x14ac:dyDescent="0.25">
      <c r="A9" s="16"/>
      <c r="B9" s="16"/>
      <c r="C9" s="16"/>
      <c r="D9" s="16"/>
      <c r="E9" s="16"/>
    </row>
    <row r="10" spans="1:5" ht="18.75" x14ac:dyDescent="0.3">
      <c r="A10" s="16"/>
      <c r="B10" s="11" t="s">
        <v>7</v>
      </c>
      <c r="C10" s="11"/>
      <c r="D10" s="11"/>
      <c r="E10" s="16"/>
    </row>
    <row r="11" spans="1:5" ht="27" x14ac:dyDescent="0.25">
      <c r="A11" s="16"/>
      <c r="B11" s="17" t="s">
        <v>8</v>
      </c>
      <c r="C11" s="18" t="s">
        <v>9</v>
      </c>
      <c r="D11" s="19" t="s">
        <v>10</v>
      </c>
      <c r="E11" s="16"/>
    </row>
    <row r="12" spans="1:5" ht="27" x14ac:dyDescent="0.25">
      <c r="A12" s="16"/>
      <c r="B12" s="17" t="s">
        <v>11</v>
      </c>
      <c r="C12" s="18" t="s">
        <v>12</v>
      </c>
      <c r="D12" s="19" t="s">
        <v>13</v>
      </c>
      <c r="E12" s="16"/>
    </row>
    <row r="13" spans="1:5" ht="27" x14ac:dyDescent="0.25">
      <c r="A13" s="16"/>
      <c r="B13" s="17" t="s">
        <v>14</v>
      </c>
      <c r="C13" s="18" t="s">
        <v>15</v>
      </c>
      <c r="D13" s="19" t="s">
        <v>16</v>
      </c>
      <c r="E13" s="16"/>
    </row>
    <row r="14" spans="1:5" ht="27" x14ac:dyDescent="0.25">
      <c r="A14" s="16"/>
      <c r="B14" s="17" t="s">
        <v>17</v>
      </c>
      <c r="C14" s="18" t="s">
        <v>18</v>
      </c>
      <c r="D14" s="19" t="s">
        <v>19</v>
      </c>
      <c r="E14" s="16"/>
    </row>
    <row r="15" spans="1:5" ht="27" x14ac:dyDescent="0.25">
      <c r="A15" s="16"/>
      <c r="B15" s="17" t="s">
        <v>20</v>
      </c>
      <c r="C15" s="18" t="s">
        <v>21</v>
      </c>
      <c r="D15" s="19" t="s">
        <v>22</v>
      </c>
      <c r="E15" s="16"/>
    </row>
    <row r="16" spans="1:5" ht="27" x14ac:dyDescent="0.25">
      <c r="A16" s="16"/>
      <c r="B16" s="17" t="s">
        <v>23</v>
      </c>
      <c r="C16" s="18" t="s">
        <v>24</v>
      </c>
      <c r="D16" s="19" t="s">
        <v>25</v>
      </c>
      <c r="E16" s="16"/>
    </row>
    <row r="17" spans="1:5" x14ac:dyDescent="0.25">
      <c r="A17" s="16"/>
      <c r="B17" s="17" t="s">
        <v>26</v>
      </c>
      <c r="C17" s="18" t="s">
        <v>27</v>
      </c>
      <c r="D17" s="19" t="s">
        <v>28</v>
      </c>
      <c r="E17" s="16"/>
    </row>
    <row r="18" spans="1:5" ht="27" x14ac:dyDescent="0.25">
      <c r="A18" s="16"/>
      <c r="B18" s="17" t="s">
        <v>29</v>
      </c>
      <c r="C18" s="18" t="s">
        <v>30</v>
      </c>
      <c r="D18" s="19" t="s">
        <v>31</v>
      </c>
      <c r="E18" s="16"/>
    </row>
    <row r="19" spans="1:5" x14ac:dyDescent="0.25">
      <c r="A19" s="16"/>
      <c r="B19" s="16"/>
      <c r="C19" s="16"/>
      <c r="D19" s="16"/>
      <c r="E19" s="16"/>
    </row>
    <row r="20" spans="1:5" ht="18.75" x14ac:dyDescent="0.3">
      <c r="A20" s="16"/>
      <c r="B20" s="11" t="s">
        <v>32</v>
      </c>
      <c r="C20" s="11"/>
      <c r="D20" s="11"/>
      <c r="E20" s="16"/>
    </row>
    <row r="21" spans="1:5" x14ac:dyDescent="0.25">
      <c r="A21" s="16"/>
      <c r="B21" s="20" t="s">
        <v>33</v>
      </c>
      <c r="C21" s="9" t="s">
        <v>34</v>
      </c>
      <c r="D21" s="9"/>
      <c r="E21" s="16"/>
    </row>
    <row r="22" spans="1:5" x14ac:dyDescent="0.25">
      <c r="A22" s="16"/>
      <c r="B22" s="21" t="s">
        <v>35</v>
      </c>
      <c r="C22" s="8" t="s">
        <v>36</v>
      </c>
      <c r="D22" s="8"/>
      <c r="E22" s="16"/>
    </row>
    <row r="23" spans="1:5" x14ac:dyDescent="0.25">
      <c r="A23" s="16"/>
      <c r="B23" s="22" t="s">
        <v>37</v>
      </c>
      <c r="C23" s="7" t="s">
        <v>38</v>
      </c>
      <c r="D23" s="7"/>
      <c r="E23" s="16"/>
    </row>
    <row r="24" spans="1:5" x14ac:dyDescent="0.25">
      <c r="A24" s="16"/>
      <c r="B24" s="21" t="s">
        <v>39</v>
      </c>
      <c r="C24" s="8" t="s">
        <v>40</v>
      </c>
      <c r="D24" s="8"/>
      <c r="E24" s="16"/>
    </row>
    <row r="25" spans="1:5" x14ac:dyDescent="0.25">
      <c r="A25" s="16"/>
      <c r="B25" s="22" t="s">
        <v>41</v>
      </c>
      <c r="C25" s="7" t="s">
        <v>42</v>
      </c>
      <c r="D25" s="7"/>
      <c r="E25" s="16"/>
    </row>
    <row r="26" spans="1:5" x14ac:dyDescent="0.25">
      <c r="A26" s="16"/>
      <c r="B26" s="21" t="s">
        <v>43</v>
      </c>
      <c r="C26" s="8" t="s">
        <v>44</v>
      </c>
      <c r="D26" s="8"/>
      <c r="E26" s="16"/>
    </row>
    <row r="27" spans="1:5" x14ac:dyDescent="0.25">
      <c r="A27" s="16"/>
      <c r="B27" s="22" t="s">
        <v>45</v>
      </c>
      <c r="C27" s="7" t="s">
        <v>46</v>
      </c>
      <c r="D27" s="7"/>
      <c r="E27" s="16"/>
    </row>
    <row r="28" spans="1:5" x14ac:dyDescent="0.25">
      <c r="A28" s="16"/>
      <c r="B28" s="21" t="s">
        <v>47</v>
      </c>
      <c r="C28" s="8" t="s">
        <v>48</v>
      </c>
      <c r="D28" s="8"/>
      <c r="E28" s="16"/>
    </row>
    <row r="29" spans="1:5" x14ac:dyDescent="0.25">
      <c r="A29" s="16"/>
      <c r="B29" s="22" t="s">
        <v>49</v>
      </c>
      <c r="C29" s="7" t="s">
        <v>50</v>
      </c>
      <c r="D29" s="7"/>
      <c r="E29" s="16"/>
    </row>
    <row r="30" spans="1:5" x14ac:dyDescent="0.25">
      <c r="A30" s="16"/>
      <c r="B30" s="16"/>
      <c r="C30" s="16"/>
      <c r="D30" s="16"/>
      <c r="E30" s="16"/>
    </row>
    <row r="31" spans="1:5" ht="18.75" x14ac:dyDescent="0.3">
      <c r="A31" s="16"/>
      <c r="B31" s="11" t="s">
        <v>51</v>
      </c>
      <c r="C31" s="11"/>
      <c r="D31" s="11"/>
      <c r="E31" s="16"/>
    </row>
    <row r="32" spans="1:5" x14ac:dyDescent="0.25">
      <c r="A32" s="16"/>
      <c r="B32" s="20" t="s">
        <v>52</v>
      </c>
      <c r="C32" s="20" t="s">
        <v>53</v>
      </c>
      <c r="D32" s="20" t="s">
        <v>54</v>
      </c>
      <c r="E32" s="16"/>
    </row>
    <row r="33" spans="1:5" ht="54" x14ac:dyDescent="0.25">
      <c r="A33" s="16"/>
      <c r="B33" s="23" t="s">
        <v>55</v>
      </c>
      <c r="C33" s="24" t="s">
        <v>56</v>
      </c>
      <c r="D33" s="24" t="s">
        <v>57</v>
      </c>
      <c r="E33" s="16"/>
    </row>
    <row r="34" spans="1:5" ht="27" x14ac:dyDescent="0.25">
      <c r="A34" s="16"/>
      <c r="B34" s="25" t="s">
        <v>58</v>
      </c>
      <c r="C34" s="19" t="s">
        <v>59</v>
      </c>
      <c r="D34" s="19" t="s">
        <v>60</v>
      </c>
      <c r="E34" s="16"/>
    </row>
    <row r="35" spans="1:5" ht="27" x14ac:dyDescent="0.25">
      <c r="A35" s="16"/>
      <c r="B35" s="23" t="s">
        <v>61</v>
      </c>
      <c r="C35" s="24" t="s">
        <v>62</v>
      </c>
      <c r="D35" s="24" t="s">
        <v>63</v>
      </c>
      <c r="E35" s="16"/>
    </row>
    <row r="36" spans="1:5" ht="27" x14ac:dyDescent="0.25">
      <c r="A36" s="16"/>
      <c r="B36" s="25" t="s">
        <v>64</v>
      </c>
      <c r="C36" s="19" t="s">
        <v>65</v>
      </c>
      <c r="D36" s="19" t="s">
        <v>66</v>
      </c>
      <c r="E36" s="16"/>
    </row>
    <row r="37" spans="1:5" x14ac:dyDescent="0.25">
      <c r="A37" s="16"/>
      <c r="B37" s="23" t="s">
        <v>67</v>
      </c>
      <c r="C37" s="24" t="s">
        <v>68</v>
      </c>
      <c r="D37" s="24" t="s">
        <v>69</v>
      </c>
      <c r="E37" s="16"/>
    </row>
    <row r="38" spans="1:5" x14ac:dyDescent="0.25">
      <c r="A38" s="16"/>
      <c r="B38" s="25" t="s">
        <v>70</v>
      </c>
      <c r="C38" s="19" t="s">
        <v>71</v>
      </c>
      <c r="D38" s="19" t="s">
        <v>72</v>
      </c>
      <c r="E38" s="16"/>
    </row>
    <row r="39" spans="1:5" x14ac:dyDescent="0.25">
      <c r="A39" s="16"/>
      <c r="B39" s="23" t="s">
        <v>73</v>
      </c>
      <c r="C39" s="24" t="s">
        <v>74</v>
      </c>
      <c r="D39" s="24" t="s">
        <v>75</v>
      </c>
      <c r="E39" s="16"/>
    </row>
    <row r="40" spans="1:5" ht="27" x14ac:dyDescent="0.25">
      <c r="A40" s="16"/>
      <c r="B40" s="25" t="s">
        <v>76</v>
      </c>
      <c r="C40" s="19" t="s">
        <v>77</v>
      </c>
      <c r="D40" s="19" t="s">
        <v>78</v>
      </c>
      <c r="E40" s="16"/>
    </row>
    <row r="41" spans="1:5" ht="27" x14ac:dyDescent="0.25">
      <c r="A41" s="16"/>
      <c r="B41" s="23" t="s">
        <v>79</v>
      </c>
      <c r="C41" s="24" t="s">
        <v>80</v>
      </c>
      <c r="D41" s="24" t="s">
        <v>81</v>
      </c>
      <c r="E41" s="16"/>
    </row>
    <row r="42" spans="1:5" x14ac:dyDescent="0.25">
      <c r="A42" s="16"/>
      <c r="B42" s="16"/>
      <c r="C42" s="16"/>
      <c r="D42" s="16"/>
      <c r="E42" s="16"/>
    </row>
    <row r="43" spans="1:5" ht="18.75" x14ac:dyDescent="0.3">
      <c r="A43" s="16"/>
      <c r="B43" s="11" t="s">
        <v>82</v>
      </c>
      <c r="C43" s="11"/>
      <c r="D43" s="11"/>
      <c r="E43" s="16"/>
    </row>
    <row r="44" spans="1:5" x14ac:dyDescent="0.25">
      <c r="A44" s="16"/>
      <c r="B44" s="20" t="s">
        <v>83</v>
      </c>
      <c r="C44" s="20" t="s">
        <v>84</v>
      </c>
      <c r="D44" s="20" t="s">
        <v>85</v>
      </c>
      <c r="E44" s="16"/>
    </row>
    <row r="45" spans="1:5" ht="27" x14ac:dyDescent="0.25">
      <c r="A45" s="16"/>
      <c r="B45" s="26" t="s">
        <v>86</v>
      </c>
      <c r="C45" s="27" t="s">
        <v>87</v>
      </c>
      <c r="D45" s="28" t="s">
        <v>88</v>
      </c>
      <c r="E45" s="16"/>
    </row>
    <row r="46" spans="1:5" ht="27" x14ac:dyDescent="0.25">
      <c r="A46" s="16"/>
      <c r="B46" s="29" t="s">
        <v>89</v>
      </c>
      <c r="C46" s="30" t="s">
        <v>90</v>
      </c>
      <c r="D46" s="19" t="s">
        <v>91</v>
      </c>
      <c r="E46" s="16"/>
    </row>
    <row r="47" spans="1:5" ht="40.5" x14ac:dyDescent="0.25">
      <c r="A47" s="16"/>
      <c r="B47" s="26" t="s">
        <v>92</v>
      </c>
      <c r="C47" s="27" t="s">
        <v>93</v>
      </c>
      <c r="D47" s="28" t="s">
        <v>94</v>
      </c>
      <c r="E47" s="16"/>
    </row>
    <row r="48" spans="1:5" ht="40.5" x14ac:dyDescent="0.25">
      <c r="A48" s="16"/>
      <c r="B48" s="29" t="s">
        <v>95</v>
      </c>
      <c r="C48" s="30" t="s">
        <v>96</v>
      </c>
      <c r="D48" s="19" t="s">
        <v>97</v>
      </c>
      <c r="E48" s="16"/>
    </row>
    <row r="49" spans="1:5" ht="67.5" x14ac:dyDescent="0.25">
      <c r="A49" s="16"/>
      <c r="B49" s="26" t="s">
        <v>98</v>
      </c>
      <c r="C49" s="27" t="s">
        <v>99</v>
      </c>
      <c r="D49" s="28" t="s">
        <v>100</v>
      </c>
      <c r="E49" s="16"/>
    </row>
    <row r="50" spans="1:5" ht="27" x14ac:dyDescent="0.25">
      <c r="A50" s="16"/>
      <c r="B50" s="29" t="s">
        <v>101</v>
      </c>
      <c r="C50" s="30" t="s">
        <v>102</v>
      </c>
      <c r="D50" s="19" t="s">
        <v>103</v>
      </c>
      <c r="E50" s="16"/>
    </row>
    <row r="51" spans="1:5" x14ac:dyDescent="0.25">
      <c r="A51" s="16"/>
      <c r="B51" s="16"/>
      <c r="C51" s="16"/>
      <c r="D51" s="16"/>
      <c r="E51" s="16"/>
    </row>
    <row r="52" spans="1:5" ht="18.75" x14ac:dyDescent="0.3">
      <c r="A52" s="16"/>
      <c r="B52" s="11" t="s">
        <v>104</v>
      </c>
      <c r="C52" s="11"/>
      <c r="D52" s="11"/>
      <c r="E52" s="16"/>
    </row>
    <row r="53" spans="1:5" x14ac:dyDescent="0.25">
      <c r="A53" s="16"/>
      <c r="B53" s="20" t="s">
        <v>83</v>
      </c>
      <c r="C53" s="20" t="s">
        <v>105</v>
      </c>
      <c r="D53" s="20" t="s">
        <v>106</v>
      </c>
      <c r="E53" s="16"/>
    </row>
    <row r="54" spans="1:5" ht="27" x14ac:dyDescent="0.25">
      <c r="A54" s="16"/>
      <c r="B54" s="31" t="s">
        <v>107</v>
      </c>
      <c r="C54" s="18" t="s">
        <v>108</v>
      </c>
      <c r="D54" s="19" t="s">
        <v>109</v>
      </c>
      <c r="E54" s="16"/>
    </row>
    <row r="55" spans="1:5" ht="27" x14ac:dyDescent="0.25">
      <c r="A55" s="16"/>
      <c r="B55" s="31" t="s">
        <v>110</v>
      </c>
      <c r="C55" s="18" t="s">
        <v>111</v>
      </c>
      <c r="D55" s="19" t="s">
        <v>112</v>
      </c>
      <c r="E55" s="16"/>
    </row>
    <row r="56" spans="1:5" x14ac:dyDescent="0.25">
      <c r="A56" s="16"/>
      <c r="B56" s="31" t="s">
        <v>113</v>
      </c>
      <c r="C56" s="18" t="s">
        <v>114</v>
      </c>
      <c r="D56" s="19" t="s">
        <v>115</v>
      </c>
      <c r="E56" s="16"/>
    </row>
    <row r="57" spans="1:5" ht="27" x14ac:dyDescent="0.25">
      <c r="A57" s="16"/>
      <c r="B57" s="31" t="s">
        <v>116</v>
      </c>
      <c r="C57" s="18" t="s">
        <v>117</v>
      </c>
      <c r="D57" s="19" t="s">
        <v>118</v>
      </c>
      <c r="E57" s="16"/>
    </row>
    <row r="58" spans="1:5" x14ac:dyDescent="0.25">
      <c r="A58" s="16"/>
      <c r="B58" s="16"/>
      <c r="C58" s="16"/>
      <c r="D58" s="16"/>
      <c r="E58" s="16"/>
    </row>
    <row r="59" spans="1:5" x14ac:dyDescent="0.25">
      <c r="A59" s="16"/>
      <c r="B59" s="6" t="s">
        <v>119</v>
      </c>
      <c r="C59" s="6"/>
      <c r="D59" s="6"/>
      <c r="E59" s="16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16"/>
      <c r="B61" s="16"/>
      <c r="C61" s="16"/>
      <c r="D61" s="16"/>
      <c r="E61" s="16"/>
    </row>
    <row r="62" spans="1:5" x14ac:dyDescent="0.25">
      <c r="A62" s="16"/>
      <c r="B62" s="16"/>
      <c r="C62" s="16"/>
      <c r="D62" s="16"/>
      <c r="E62" s="16"/>
    </row>
    <row r="63" spans="1:5" x14ac:dyDescent="0.25">
      <c r="A63" s="16"/>
      <c r="B63" s="16"/>
      <c r="C63" s="16"/>
      <c r="D63" s="16"/>
      <c r="E63" s="16"/>
    </row>
    <row r="64" spans="1:5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</sheetData>
  <sheetProtection algorithmName="SHA-512" hashValue="N/8yNPfzHgdFZ/87uvXGemBbIs/yLFtmlKowgUFa8Gh6QECGOs8n6Ul+9N33bcERP6lTEIud0ZSYuWtb1Mkz1A==" saltValue="1KchiG4UMA1U8KHdTUpOlQ==" spinCount="100000" sheet="1" objects="1" scenarios="1"/>
  <mergeCells count="22">
    <mergeCell ref="B52:D52"/>
    <mergeCell ref="B59:D59"/>
    <mergeCell ref="C27:D27"/>
    <mergeCell ref="C28:D28"/>
    <mergeCell ref="C29:D29"/>
    <mergeCell ref="B31:D31"/>
    <mergeCell ref="B43:D43"/>
    <mergeCell ref="C22:D22"/>
    <mergeCell ref="C23:D23"/>
    <mergeCell ref="C24:D24"/>
    <mergeCell ref="C25:D25"/>
    <mergeCell ref="C26:D26"/>
    <mergeCell ref="B7:D7"/>
    <mergeCell ref="B8:D8"/>
    <mergeCell ref="B10:D10"/>
    <mergeCell ref="B20:D20"/>
    <mergeCell ref="C21:D21"/>
    <mergeCell ref="B1:D1"/>
    <mergeCell ref="B2:D2"/>
    <mergeCell ref="B3:D3"/>
    <mergeCell ref="B5:D5"/>
    <mergeCell ref="B6:D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zoomScaleNormal="100" workbookViewId="0">
      <selection activeCell="A14" sqref="A14"/>
    </sheetView>
  </sheetViews>
  <sheetFormatPr defaultColWidth="8.7109375" defaultRowHeight="15" x14ac:dyDescent="0.25"/>
  <cols>
    <col min="1" max="1" width="3" customWidth="1"/>
    <col min="2" max="2" width="45" customWidth="1"/>
    <col min="3" max="3" width="24" customWidth="1"/>
    <col min="4" max="4" width="3" customWidth="1"/>
    <col min="5" max="5" width="45" customWidth="1"/>
    <col min="6" max="6" width="24" customWidth="1"/>
    <col min="7" max="7" width="3" customWidth="1"/>
  </cols>
  <sheetData>
    <row r="1" spans="1:7" ht="39.75" customHeight="1" x14ac:dyDescent="0.25">
      <c r="A1" s="15"/>
      <c r="B1" s="5" t="s">
        <v>120</v>
      </c>
      <c r="C1" s="5"/>
      <c r="D1" s="5"/>
      <c r="E1" s="5"/>
      <c r="F1" s="5"/>
      <c r="G1" s="15"/>
    </row>
    <row r="2" spans="1:7" ht="15" customHeight="1" x14ac:dyDescent="0.25">
      <c r="A2" s="15"/>
      <c r="B2" s="4" t="s">
        <v>121</v>
      </c>
      <c r="C2" s="4"/>
      <c r="D2" s="4"/>
      <c r="E2" s="4"/>
      <c r="F2" s="4"/>
      <c r="G2" s="15"/>
    </row>
    <row r="3" spans="1:7" ht="24" customHeight="1" x14ac:dyDescent="0.25">
      <c r="A3" s="15"/>
      <c r="B3" s="3" t="s">
        <v>2</v>
      </c>
      <c r="C3" s="3"/>
      <c r="D3" s="3"/>
      <c r="E3" s="3"/>
      <c r="F3" s="3"/>
      <c r="G3" s="15"/>
    </row>
    <row r="4" spans="1:7" ht="25.5" customHeight="1" x14ac:dyDescent="0.25">
      <c r="A4" s="32"/>
      <c r="B4" s="2" t="s">
        <v>122</v>
      </c>
      <c r="C4" s="2"/>
      <c r="D4" s="2"/>
      <c r="E4" s="2"/>
      <c r="F4" s="2"/>
      <c r="G4" s="32"/>
    </row>
    <row r="5" spans="1:7" ht="15" customHeight="1" x14ac:dyDescent="0.25">
      <c r="A5" s="33"/>
      <c r="B5" s="33"/>
      <c r="C5" s="33"/>
      <c r="D5" s="33"/>
      <c r="E5" s="33"/>
      <c r="F5" s="33"/>
      <c r="G5" s="33"/>
    </row>
    <row r="6" spans="1:7" ht="15" customHeight="1" x14ac:dyDescent="0.25">
      <c r="A6" s="33"/>
      <c r="B6" s="34" t="s">
        <v>123</v>
      </c>
      <c r="C6" s="35"/>
      <c r="D6" s="33"/>
      <c r="E6" s="34" t="s">
        <v>124</v>
      </c>
      <c r="F6" s="35"/>
      <c r="G6" s="33"/>
    </row>
    <row r="7" spans="1:7" ht="15" customHeight="1" x14ac:dyDescent="0.25">
      <c r="A7" s="33"/>
      <c r="B7" s="36" t="s">
        <v>125</v>
      </c>
      <c r="C7" s="37"/>
      <c r="D7" s="33"/>
      <c r="E7" s="36" t="s">
        <v>126</v>
      </c>
      <c r="F7" s="38">
        <v>0</v>
      </c>
      <c r="G7" s="33"/>
    </row>
    <row r="8" spans="1:7" ht="15" customHeight="1" x14ac:dyDescent="0.25">
      <c r="A8" s="33"/>
      <c r="B8" s="36" t="s">
        <v>127</v>
      </c>
      <c r="C8" s="37" t="s">
        <v>128</v>
      </c>
      <c r="D8" s="33"/>
      <c r="E8" s="36" t="s">
        <v>129</v>
      </c>
      <c r="F8" s="37" t="s">
        <v>130</v>
      </c>
      <c r="G8" s="33"/>
    </row>
    <row r="9" spans="1:7" ht="15" customHeight="1" x14ac:dyDescent="0.25">
      <c r="A9" s="33"/>
      <c r="B9" s="36" t="s">
        <v>131</v>
      </c>
      <c r="C9" s="37" t="s">
        <v>132</v>
      </c>
      <c r="D9" s="33"/>
      <c r="E9" s="36" t="s">
        <v>133</v>
      </c>
      <c r="F9" s="38">
        <v>0</v>
      </c>
      <c r="G9" s="33"/>
    </row>
    <row r="10" spans="1:7" ht="15" customHeight="1" x14ac:dyDescent="0.25">
      <c r="A10" s="33"/>
      <c r="B10" s="36" t="s">
        <v>134</v>
      </c>
      <c r="C10" s="37" t="s">
        <v>135</v>
      </c>
      <c r="D10" s="33"/>
      <c r="E10" s="39" t="s">
        <v>136</v>
      </c>
      <c r="F10" s="40">
        <f>IF(F8="Not Applicable",0,IF(F8="Regular Books",F9,IF(F8="44AD (Business)",F7*0.08,IF(F8="44ADA (Profession)",F7*0.5,0))))</f>
        <v>0</v>
      </c>
      <c r="G10" s="33"/>
    </row>
    <row r="11" spans="1:7" ht="15" customHeight="1" x14ac:dyDescent="0.25">
      <c r="A11" s="33"/>
      <c r="B11" s="36" t="s">
        <v>137</v>
      </c>
      <c r="C11" s="37" t="s">
        <v>138</v>
      </c>
      <c r="D11" s="33"/>
      <c r="E11" s="33"/>
      <c r="F11" s="33"/>
      <c r="G11" s="33"/>
    </row>
    <row r="12" spans="1:7" ht="15" customHeight="1" x14ac:dyDescent="0.25">
      <c r="A12" s="33"/>
      <c r="B12" s="33"/>
      <c r="C12" s="33"/>
      <c r="D12" s="33"/>
      <c r="E12" s="34" t="s">
        <v>139</v>
      </c>
      <c r="F12" s="35"/>
      <c r="G12" s="33"/>
    </row>
    <row r="13" spans="1:7" ht="15" customHeight="1" x14ac:dyDescent="0.25">
      <c r="A13" s="33"/>
      <c r="B13" s="34" t="s">
        <v>140</v>
      </c>
      <c r="C13" s="35"/>
      <c r="D13" s="33"/>
      <c r="E13" s="36" t="s">
        <v>141</v>
      </c>
      <c r="F13" s="38">
        <v>0</v>
      </c>
      <c r="G13" s="33"/>
    </row>
    <row r="14" spans="1:7" ht="15" customHeight="1" x14ac:dyDescent="0.25">
      <c r="A14" s="33"/>
      <c r="B14" s="36" t="s">
        <v>142</v>
      </c>
      <c r="C14" s="38">
        <v>0</v>
      </c>
      <c r="D14" s="33"/>
      <c r="E14" s="36" t="s">
        <v>143</v>
      </c>
      <c r="F14" s="38">
        <v>0</v>
      </c>
      <c r="G14" s="33"/>
    </row>
    <row r="15" spans="1:7" ht="15" customHeight="1" x14ac:dyDescent="0.25">
      <c r="A15" s="33"/>
      <c r="B15" s="36" t="s">
        <v>144</v>
      </c>
      <c r="C15" s="38">
        <v>0</v>
      </c>
      <c r="D15" s="33"/>
      <c r="E15" s="36" t="s">
        <v>145</v>
      </c>
      <c r="F15" s="38">
        <v>0</v>
      </c>
      <c r="G15" s="33"/>
    </row>
    <row r="16" spans="1:7" ht="15" customHeight="1" x14ac:dyDescent="0.25">
      <c r="A16" s="33"/>
      <c r="B16" s="36" t="s">
        <v>146</v>
      </c>
      <c r="C16" s="38">
        <v>0</v>
      </c>
      <c r="D16" s="33"/>
      <c r="E16" s="36" t="s">
        <v>147</v>
      </c>
      <c r="F16" s="38">
        <v>0</v>
      </c>
      <c r="G16" s="33"/>
    </row>
    <row r="17" spans="1:7" ht="15" customHeight="1" x14ac:dyDescent="0.25">
      <c r="A17" s="33"/>
      <c r="B17" s="36" t="s">
        <v>148</v>
      </c>
      <c r="C17" s="38">
        <v>0</v>
      </c>
      <c r="D17" s="33"/>
      <c r="E17" s="41" t="s">
        <v>149</v>
      </c>
      <c r="F17" s="33"/>
      <c r="G17" s="33"/>
    </row>
    <row r="18" spans="1:7" ht="15" customHeight="1" x14ac:dyDescent="0.25">
      <c r="A18" s="33"/>
      <c r="B18" s="36" t="s">
        <v>150</v>
      </c>
      <c r="C18" s="38">
        <v>0</v>
      </c>
      <c r="D18" s="33"/>
      <c r="E18" s="33"/>
      <c r="F18" s="33"/>
      <c r="G18" s="33"/>
    </row>
    <row r="19" spans="1:7" ht="15" customHeight="1" x14ac:dyDescent="0.25">
      <c r="A19" s="33"/>
      <c r="B19" s="36" t="s">
        <v>151</v>
      </c>
      <c r="C19" s="38">
        <v>0</v>
      </c>
      <c r="D19" s="33"/>
      <c r="E19" s="34" t="s">
        <v>152</v>
      </c>
      <c r="F19" s="35"/>
      <c r="G19" s="33"/>
    </row>
    <row r="20" spans="1:7" ht="15" customHeight="1" x14ac:dyDescent="0.25">
      <c r="A20" s="33"/>
      <c r="B20" s="42" t="s">
        <v>153</v>
      </c>
      <c r="C20" s="43">
        <f>SUM(C14:C19)</f>
        <v>0</v>
      </c>
      <c r="D20" s="33"/>
      <c r="E20" s="36" t="s">
        <v>154</v>
      </c>
      <c r="F20" s="38">
        <v>0</v>
      </c>
      <c r="G20" s="33"/>
    </row>
    <row r="21" spans="1:7" ht="15" customHeight="1" x14ac:dyDescent="0.25">
      <c r="A21" s="33"/>
      <c r="B21" s="36" t="s">
        <v>155</v>
      </c>
      <c r="C21" s="38">
        <v>0</v>
      </c>
      <c r="D21" s="33"/>
      <c r="E21" s="36" t="s">
        <v>156</v>
      </c>
      <c r="F21" s="38">
        <v>0</v>
      </c>
      <c r="G21" s="33"/>
    </row>
    <row r="22" spans="1:7" ht="15" customHeight="1" x14ac:dyDescent="0.25">
      <c r="A22" s="33"/>
      <c r="B22" s="39" t="s">
        <v>157</v>
      </c>
      <c r="C22" s="40">
        <f>IF(OR(C10&lt;&gt;"Salaried",C16=0,C21=0),0,MAX(0,MIN(C16,IF(C11="Metro",0.5,0.4)*(C14+C15),(C21*12)-0.1*(C14+C15))))</f>
        <v>0</v>
      </c>
      <c r="D22" s="33"/>
      <c r="E22" s="36" t="s">
        <v>158</v>
      </c>
      <c r="F22" s="38">
        <v>0</v>
      </c>
      <c r="G22" s="33"/>
    </row>
    <row r="23" spans="1:7" ht="15" customHeight="1" x14ac:dyDescent="0.25">
      <c r="A23" s="33"/>
      <c r="B23" s="33"/>
      <c r="C23" s="33"/>
      <c r="D23" s="33"/>
      <c r="E23" s="36" t="s">
        <v>159</v>
      </c>
      <c r="F23" s="38">
        <v>0</v>
      </c>
      <c r="G23" s="33"/>
    </row>
    <row r="24" spans="1:7" ht="15" customHeight="1" x14ac:dyDescent="0.25">
      <c r="A24" s="33"/>
      <c r="B24" s="34" t="s">
        <v>160</v>
      </c>
      <c r="C24" s="35"/>
      <c r="D24" s="33"/>
      <c r="E24" s="44" t="s">
        <v>161</v>
      </c>
      <c r="F24" s="45" t="s">
        <v>162</v>
      </c>
      <c r="G24" s="33"/>
    </row>
    <row r="25" spans="1:7" ht="15" customHeight="1" x14ac:dyDescent="0.25">
      <c r="A25" s="33"/>
      <c r="B25" s="36" t="s">
        <v>163</v>
      </c>
      <c r="C25" s="37" t="s">
        <v>164</v>
      </c>
      <c r="D25" s="33"/>
      <c r="E25" s="34" t="s">
        <v>165</v>
      </c>
      <c r="F25" s="35"/>
      <c r="G25" s="33"/>
    </row>
    <row r="26" spans="1:7" ht="15" customHeight="1" x14ac:dyDescent="0.25">
      <c r="A26" s="33"/>
      <c r="B26" s="36" t="s">
        <v>166</v>
      </c>
      <c r="C26" s="38">
        <v>0</v>
      </c>
      <c r="D26" s="33"/>
      <c r="E26" s="36" t="s">
        <v>167</v>
      </c>
      <c r="F26" s="38">
        <v>0</v>
      </c>
      <c r="G26" s="33"/>
    </row>
    <row r="27" spans="1:7" ht="15" customHeight="1" x14ac:dyDescent="0.25">
      <c r="A27" s="33"/>
      <c r="B27" s="36" t="s">
        <v>168</v>
      </c>
      <c r="C27" s="38">
        <v>0</v>
      </c>
      <c r="D27" s="33"/>
      <c r="E27" s="36" t="s">
        <v>169</v>
      </c>
      <c r="F27" s="38">
        <v>0</v>
      </c>
      <c r="G27" s="33"/>
    </row>
    <row r="28" spans="1:7" ht="15" customHeight="1" x14ac:dyDescent="0.25">
      <c r="A28" s="33"/>
      <c r="B28" s="36" t="s">
        <v>170</v>
      </c>
      <c r="C28" s="38">
        <v>0</v>
      </c>
      <c r="D28" s="33"/>
      <c r="E28" s="36" t="s">
        <v>171</v>
      </c>
      <c r="F28" s="38">
        <v>0</v>
      </c>
      <c r="G28" s="33"/>
    </row>
    <row r="29" spans="1:7" ht="15" customHeight="1" x14ac:dyDescent="0.25">
      <c r="A29" s="33"/>
      <c r="B29" s="39" t="s">
        <v>172</v>
      </c>
      <c r="C29" s="40">
        <f>IF(C25="No Property",0,IF(C25="Self-Occupied",-MIN(C28,200000),MAX(0,C26-C27)*0.7-C28))</f>
        <v>0</v>
      </c>
      <c r="D29" s="33"/>
      <c r="E29" s="36" t="s">
        <v>173</v>
      </c>
      <c r="F29" s="38">
        <v>0</v>
      </c>
      <c r="G29" s="33"/>
    </row>
    <row r="30" spans="1:7" ht="15" customHeight="1" x14ac:dyDescent="0.25">
      <c r="A30" s="33"/>
      <c r="B30" s="33"/>
      <c r="C30" s="33"/>
      <c r="D30" s="33"/>
      <c r="E30" s="36" t="s">
        <v>174</v>
      </c>
      <c r="F30" s="38">
        <v>0</v>
      </c>
      <c r="G30" s="33"/>
    </row>
    <row r="31" spans="1:7" ht="15" customHeight="1" x14ac:dyDescent="0.25">
      <c r="A31" s="33"/>
      <c r="B31" s="34" t="s">
        <v>175</v>
      </c>
      <c r="C31" s="35"/>
      <c r="D31" s="33"/>
      <c r="E31" s="42" t="s">
        <v>176</v>
      </c>
      <c r="F31" s="43">
        <f>SUM(F26:F30)</f>
        <v>0</v>
      </c>
      <c r="G31" s="33"/>
    </row>
    <row r="32" spans="1:7" ht="15" customHeight="1" x14ac:dyDescent="0.25">
      <c r="A32" s="33"/>
      <c r="B32" s="1" t="s">
        <v>177</v>
      </c>
      <c r="C32" s="1"/>
      <c r="D32" s="33"/>
      <c r="E32" s="33"/>
      <c r="F32" s="33"/>
      <c r="G32" s="33"/>
    </row>
    <row r="33" spans="1:7" ht="15" customHeight="1" x14ac:dyDescent="0.25">
      <c r="A33" s="33"/>
      <c r="B33" s="36" t="s">
        <v>178</v>
      </c>
      <c r="C33" s="38">
        <v>0</v>
      </c>
      <c r="D33" s="33"/>
      <c r="E33" s="33"/>
      <c r="F33" s="33"/>
      <c r="G33" s="33"/>
    </row>
    <row r="34" spans="1:7" ht="15" customHeight="1" x14ac:dyDescent="0.25">
      <c r="A34" s="33"/>
      <c r="B34" s="36" t="s">
        <v>179</v>
      </c>
      <c r="C34" s="38">
        <v>0</v>
      </c>
      <c r="D34" s="33"/>
      <c r="E34" s="33"/>
      <c r="F34" s="33"/>
      <c r="G34" s="33"/>
    </row>
    <row r="35" spans="1:7" ht="15" customHeight="1" x14ac:dyDescent="0.25">
      <c r="A35" s="33"/>
      <c r="B35" s="36" t="s">
        <v>180</v>
      </c>
      <c r="C35" s="38">
        <v>0</v>
      </c>
      <c r="D35" s="33"/>
      <c r="E35" s="33"/>
      <c r="F35" s="33"/>
      <c r="G35" s="33"/>
    </row>
    <row r="36" spans="1:7" ht="15" customHeight="1" x14ac:dyDescent="0.25">
      <c r="A36" s="33"/>
      <c r="B36" s="36" t="s">
        <v>181</v>
      </c>
      <c r="C36" s="38">
        <v>0</v>
      </c>
      <c r="D36" s="33"/>
      <c r="E36" s="33"/>
      <c r="F36" s="33"/>
      <c r="G36" s="33"/>
    </row>
    <row r="37" spans="1:7" ht="15" customHeight="1" x14ac:dyDescent="0.25">
      <c r="A37" s="33"/>
      <c r="B37" s="46" t="s">
        <v>182</v>
      </c>
      <c r="C37" s="47">
        <v>0</v>
      </c>
      <c r="D37" s="33"/>
      <c r="E37" s="33"/>
      <c r="F37" s="33"/>
      <c r="G37" s="33"/>
    </row>
    <row r="38" spans="1:7" ht="15" customHeight="1" x14ac:dyDescent="0.25">
      <c r="A38" s="33"/>
      <c r="B38" s="36" t="s">
        <v>183</v>
      </c>
      <c r="C38" s="38">
        <v>0</v>
      </c>
      <c r="D38" s="33"/>
      <c r="E38" s="33"/>
      <c r="F38" s="33"/>
      <c r="G38" s="33"/>
    </row>
    <row r="39" spans="1:7" ht="15" customHeight="1" x14ac:dyDescent="0.25">
      <c r="A39" s="33"/>
      <c r="B39" s="36" t="s">
        <v>184</v>
      </c>
      <c r="C39" s="38">
        <v>0</v>
      </c>
      <c r="D39" s="33"/>
      <c r="E39" s="33"/>
      <c r="F39" s="33"/>
      <c r="G39" s="33"/>
    </row>
    <row r="40" spans="1:7" ht="15" customHeight="1" x14ac:dyDescent="0.25">
      <c r="A40" s="33"/>
      <c r="B40" s="36" t="s">
        <v>185</v>
      </c>
      <c r="C40" s="38">
        <v>0</v>
      </c>
      <c r="D40" s="33"/>
      <c r="E40" s="33"/>
      <c r="F40" s="33"/>
      <c r="G40" s="33"/>
    </row>
    <row r="41" spans="1:7" ht="15" customHeight="1" x14ac:dyDescent="0.25">
      <c r="A41" s="33"/>
      <c r="B41" s="36" t="s">
        <v>186</v>
      </c>
      <c r="C41" s="38">
        <v>0</v>
      </c>
      <c r="D41" s="33"/>
      <c r="E41" s="33"/>
      <c r="F41" s="33"/>
      <c r="G41" s="33"/>
    </row>
    <row r="42" spans="1:7" ht="15" customHeight="1" x14ac:dyDescent="0.25">
      <c r="A42" s="33"/>
      <c r="B42" s="36" t="s">
        <v>187</v>
      </c>
      <c r="C42" s="38">
        <v>0</v>
      </c>
      <c r="D42" s="33"/>
      <c r="E42" s="33"/>
      <c r="F42" s="33"/>
      <c r="G42" s="33"/>
    </row>
    <row r="43" spans="1:7" ht="15" customHeight="1" x14ac:dyDescent="0.25">
      <c r="A43" s="33"/>
      <c r="B43" s="36" t="s">
        <v>188</v>
      </c>
      <c r="C43" s="38">
        <v>0</v>
      </c>
      <c r="D43" s="33"/>
      <c r="E43" s="33"/>
      <c r="F43" s="33"/>
      <c r="G43" s="33"/>
    </row>
    <row r="44" spans="1:7" ht="15" customHeight="1" x14ac:dyDescent="0.25">
      <c r="A44" s="33"/>
      <c r="B44" s="36" t="s">
        <v>189</v>
      </c>
      <c r="C44" s="38">
        <v>0</v>
      </c>
      <c r="D44" s="33"/>
      <c r="E44" s="33"/>
      <c r="F44" s="33"/>
      <c r="G44" s="33"/>
    </row>
    <row r="45" spans="1:7" ht="15" customHeight="1" x14ac:dyDescent="0.25">
      <c r="A45" s="33"/>
      <c r="B45" s="36" t="s">
        <v>190</v>
      </c>
      <c r="C45" s="38">
        <v>0</v>
      </c>
      <c r="D45" s="33"/>
      <c r="E45" s="33"/>
      <c r="F45" s="33"/>
      <c r="G45" s="33"/>
    </row>
    <row r="46" spans="1:7" ht="15" customHeight="1" x14ac:dyDescent="0.25">
      <c r="A46" s="33"/>
      <c r="B46" s="42" t="s">
        <v>191</v>
      </c>
      <c r="C46" s="48">
        <f>MIN(150000,C33+C34+C35)</f>
        <v>0</v>
      </c>
      <c r="D46" s="33"/>
      <c r="E46" s="33"/>
      <c r="F46" s="33"/>
      <c r="G46" s="33"/>
    </row>
    <row r="47" spans="1:7" ht="15" customHeight="1" x14ac:dyDescent="0.25">
      <c r="A47" s="33"/>
      <c r="B47" s="42" t="s">
        <v>192</v>
      </c>
      <c r="C47" s="43">
        <f>C46+MIN(C36,50000)+MIN(C37,0.14*(C14+C15))+MIN(C38,IF(C8="Below 60",25000,50000))+MIN(C39,IF(F24="Yes",50000,25000))+C40+C41+IF(C8="Below 60",MIN(C42,10000),MIN(C43,50000))+C44+C45</f>
        <v>0</v>
      </c>
      <c r="D47" s="33"/>
      <c r="E47" s="33"/>
      <c r="F47" s="33"/>
      <c r="G47" s="33"/>
    </row>
    <row r="48" spans="1:7" ht="15" customHeight="1" x14ac:dyDescent="0.25">
      <c r="A48" s="33"/>
      <c r="B48" s="39" t="s">
        <v>193</v>
      </c>
      <c r="C48" s="40">
        <f>MIN(C37,0.14*(C14+C15))</f>
        <v>0</v>
      </c>
      <c r="D48" s="33"/>
      <c r="E48" s="33"/>
      <c r="F48" s="33"/>
      <c r="G48" s="33"/>
    </row>
    <row r="49" spans="1:7" ht="15" customHeight="1" x14ac:dyDescent="0.25">
      <c r="A49" s="33"/>
      <c r="B49" s="33"/>
      <c r="C49" s="33"/>
      <c r="D49" s="33"/>
      <c r="E49" s="33"/>
      <c r="F49" s="33"/>
      <c r="G49" s="33"/>
    </row>
    <row r="50" spans="1:7" ht="15" customHeight="1" x14ac:dyDescent="0.25">
      <c r="A50" s="33"/>
      <c r="B50" s="80" t="s">
        <v>194</v>
      </c>
      <c r="C50" s="80"/>
      <c r="D50" s="80"/>
      <c r="E50" s="80"/>
      <c r="F50" s="80"/>
      <c r="G50" s="33"/>
    </row>
    <row r="51" spans="1:7" ht="15" customHeight="1" x14ac:dyDescent="0.25">
      <c r="A51" s="33"/>
      <c r="B51" s="33"/>
      <c r="C51" s="33"/>
      <c r="D51" s="33"/>
      <c r="E51" s="33"/>
      <c r="F51" s="33"/>
      <c r="G51" s="33"/>
    </row>
    <row r="52" spans="1:7" ht="15" customHeight="1" x14ac:dyDescent="0.25">
      <c r="A52" s="33"/>
      <c r="B52" s="33"/>
      <c r="C52" s="33"/>
      <c r="D52" s="33"/>
      <c r="E52" s="33"/>
      <c r="F52" s="33"/>
      <c r="G52" s="33"/>
    </row>
    <row r="53" spans="1:7" ht="15" customHeight="1" x14ac:dyDescent="0.25">
      <c r="A53" s="33"/>
      <c r="B53" s="33"/>
      <c r="C53" s="33"/>
      <c r="D53" s="33"/>
      <c r="E53" s="33"/>
      <c r="F53" s="33"/>
      <c r="G53" s="33"/>
    </row>
    <row r="54" spans="1:7" ht="15" customHeight="1" x14ac:dyDescent="0.25">
      <c r="A54" s="33"/>
      <c r="B54" s="33"/>
      <c r="C54" s="33"/>
      <c r="D54" s="33"/>
      <c r="E54" s="33"/>
      <c r="F54" s="33"/>
      <c r="G54" s="33"/>
    </row>
    <row r="55" spans="1:7" ht="15" customHeight="1" x14ac:dyDescent="0.25">
      <c r="A55" s="33"/>
      <c r="B55" s="33"/>
      <c r="C55" s="33"/>
      <c r="D55" s="33"/>
      <c r="E55" s="33"/>
      <c r="F55" s="33"/>
      <c r="G55" s="33"/>
    </row>
    <row r="56" spans="1:7" ht="15" customHeight="1" x14ac:dyDescent="0.25">
      <c r="A56" s="33"/>
      <c r="B56" s="33"/>
      <c r="C56" s="33"/>
      <c r="D56" s="33"/>
      <c r="E56" s="33"/>
      <c r="F56" s="33"/>
      <c r="G56" s="33"/>
    </row>
    <row r="57" spans="1:7" ht="15" customHeight="1" x14ac:dyDescent="0.25">
      <c r="A57" s="33"/>
      <c r="B57" s="33"/>
      <c r="C57" s="33"/>
      <c r="D57" s="33"/>
      <c r="E57" s="33"/>
      <c r="F57" s="33"/>
      <c r="G57" s="33"/>
    </row>
    <row r="58" spans="1:7" ht="15" customHeight="1" x14ac:dyDescent="0.25">
      <c r="A58" s="33"/>
      <c r="B58" s="33"/>
      <c r="C58" s="33"/>
      <c r="D58" s="33"/>
      <c r="E58" s="33"/>
      <c r="F58" s="33"/>
      <c r="G58" s="33"/>
    </row>
    <row r="59" spans="1:7" ht="15" customHeight="1" x14ac:dyDescent="0.25">
      <c r="A59" s="33"/>
      <c r="B59" s="33"/>
      <c r="C59" s="33"/>
      <c r="D59" s="33"/>
      <c r="E59" s="33"/>
      <c r="F59" s="33"/>
      <c r="G59" s="33"/>
    </row>
    <row r="60" spans="1:7" ht="15" customHeight="1" x14ac:dyDescent="0.25">
      <c r="A60" s="33"/>
      <c r="B60" s="33"/>
      <c r="C60" s="33"/>
      <c r="D60" s="33"/>
      <c r="E60" s="33"/>
      <c r="F60" s="33"/>
      <c r="G60" s="33"/>
    </row>
    <row r="61" spans="1:7" ht="15" customHeight="1" x14ac:dyDescent="0.25">
      <c r="A61" s="33"/>
      <c r="B61" s="33"/>
      <c r="C61" s="33"/>
      <c r="D61" s="33"/>
      <c r="E61" s="33"/>
      <c r="F61" s="33"/>
      <c r="G61" s="33"/>
    </row>
    <row r="62" spans="1:7" ht="15" customHeight="1" x14ac:dyDescent="0.25">
      <c r="A62" s="33"/>
      <c r="B62" s="33"/>
      <c r="C62" s="33"/>
      <c r="D62" s="33"/>
      <c r="E62" s="33"/>
      <c r="F62" s="33"/>
      <c r="G62" s="33"/>
    </row>
    <row r="63" spans="1:7" ht="15" customHeight="1" x14ac:dyDescent="0.25">
      <c r="A63" s="33"/>
      <c r="B63" s="33"/>
      <c r="C63" s="33"/>
      <c r="D63" s="33"/>
      <c r="E63" s="33"/>
      <c r="F63" s="33"/>
      <c r="G63" s="33"/>
    </row>
    <row r="64" spans="1:7" ht="15" customHeight="1" x14ac:dyDescent="0.25">
      <c r="A64" s="33"/>
      <c r="B64" s="33"/>
      <c r="C64" s="33"/>
      <c r="D64" s="33"/>
      <c r="E64" s="33"/>
      <c r="F64" s="33"/>
      <c r="G64" s="33"/>
    </row>
    <row r="65" spans="1:7" ht="15" customHeight="1" x14ac:dyDescent="0.25">
      <c r="A65" s="33"/>
      <c r="B65" s="33"/>
      <c r="C65" s="33"/>
      <c r="D65" s="33"/>
      <c r="E65" s="33"/>
      <c r="F65" s="33"/>
      <c r="G65" s="33"/>
    </row>
    <row r="66" spans="1:7" ht="15" customHeight="1" x14ac:dyDescent="0.25">
      <c r="A66" s="33"/>
      <c r="B66" s="33"/>
      <c r="C66" s="33"/>
      <c r="D66" s="33"/>
      <c r="E66" s="33"/>
      <c r="F66" s="33"/>
      <c r="G66" s="33"/>
    </row>
    <row r="67" spans="1:7" ht="15" customHeight="1" x14ac:dyDescent="0.25">
      <c r="A67" s="33"/>
      <c r="B67" s="33"/>
      <c r="C67" s="33"/>
      <c r="D67" s="33"/>
      <c r="E67" s="33"/>
      <c r="F67" s="33"/>
      <c r="G67" s="33"/>
    </row>
    <row r="68" spans="1:7" ht="15" customHeight="1" x14ac:dyDescent="0.25">
      <c r="A68" s="33"/>
      <c r="B68" s="33"/>
      <c r="C68" s="33"/>
      <c r="D68" s="33"/>
      <c r="E68" s="33"/>
      <c r="F68" s="33"/>
      <c r="G68" s="33"/>
    </row>
    <row r="69" spans="1:7" ht="15" customHeight="1" x14ac:dyDescent="0.25">
      <c r="A69" s="33"/>
      <c r="B69" s="33"/>
      <c r="C69" s="33"/>
      <c r="D69" s="33"/>
      <c r="E69" s="33"/>
      <c r="F69" s="33"/>
      <c r="G69" s="33"/>
    </row>
    <row r="70" spans="1:7" ht="15" customHeight="1" x14ac:dyDescent="0.25">
      <c r="A70" s="33"/>
      <c r="B70" s="33"/>
      <c r="C70" s="33"/>
      <c r="D70" s="33"/>
      <c r="E70" s="33"/>
      <c r="F70" s="33"/>
      <c r="G70" s="33"/>
    </row>
    <row r="71" spans="1:7" ht="15" customHeight="1" x14ac:dyDescent="0.25">
      <c r="A71" s="33"/>
      <c r="B71" s="33"/>
      <c r="C71" s="33"/>
      <c r="D71" s="33"/>
      <c r="E71" s="33"/>
      <c r="F71" s="33"/>
      <c r="G71" s="33"/>
    </row>
    <row r="72" spans="1:7" ht="15" customHeight="1" x14ac:dyDescent="0.25">
      <c r="A72" s="33"/>
      <c r="B72" s="33"/>
      <c r="C72" s="33"/>
      <c r="D72" s="33"/>
      <c r="E72" s="33"/>
      <c r="F72" s="33"/>
      <c r="G72" s="33"/>
    </row>
    <row r="73" spans="1:7" ht="15" customHeight="1" x14ac:dyDescent="0.25">
      <c r="A73" s="33"/>
      <c r="B73" s="33"/>
      <c r="C73" s="33"/>
      <c r="D73" s="33"/>
      <c r="E73" s="33"/>
      <c r="F73" s="33"/>
      <c r="G73" s="33"/>
    </row>
    <row r="74" spans="1:7" ht="15" customHeight="1" x14ac:dyDescent="0.25">
      <c r="A74" s="33"/>
      <c r="B74" s="33"/>
      <c r="C74" s="33"/>
      <c r="D74" s="33"/>
      <c r="E74" s="33"/>
      <c r="F74" s="33"/>
      <c r="G74" s="33"/>
    </row>
    <row r="75" spans="1:7" ht="15" customHeight="1" x14ac:dyDescent="0.25">
      <c r="A75" s="33"/>
      <c r="B75" s="33"/>
      <c r="C75" s="33"/>
      <c r="D75" s="33"/>
      <c r="E75" s="33"/>
      <c r="F75" s="33"/>
      <c r="G75" s="33"/>
    </row>
    <row r="76" spans="1:7" ht="15" customHeight="1" x14ac:dyDescent="0.25">
      <c r="A76" s="33"/>
      <c r="B76" s="33"/>
      <c r="C76" s="33"/>
      <c r="D76" s="33"/>
      <c r="E76" s="33"/>
      <c r="F76" s="33"/>
      <c r="G76" s="33"/>
    </row>
    <row r="77" spans="1:7" ht="15" customHeight="1" x14ac:dyDescent="0.25">
      <c r="A77" s="33"/>
      <c r="B77" s="33"/>
      <c r="C77" s="33"/>
      <c r="D77" s="33"/>
      <c r="E77" s="33"/>
      <c r="F77" s="33"/>
      <c r="G77" s="33"/>
    </row>
    <row r="78" spans="1:7" ht="15" customHeight="1" x14ac:dyDescent="0.25">
      <c r="A78" s="33"/>
      <c r="B78" s="33"/>
      <c r="C78" s="33"/>
      <c r="D78" s="33"/>
      <c r="E78" s="33"/>
      <c r="F78" s="33"/>
      <c r="G78" s="33"/>
    </row>
    <row r="79" spans="1:7" ht="15" customHeight="1" x14ac:dyDescent="0.25">
      <c r="A79" s="33"/>
      <c r="B79" s="33"/>
      <c r="C79" s="33"/>
      <c r="D79" s="33"/>
      <c r="E79" s="33"/>
      <c r="F79" s="33"/>
      <c r="G79" s="33"/>
    </row>
  </sheetData>
  <mergeCells count="6">
    <mergeCell ref="B50:F50"/>
    <mergeCell ref="B1:F1"/>
    <mergeCell ref="B2:F2"/>
    <mergeCell ref="B3:F3"/>
    <mergeCell ref="B4:F4"/>
    <mergeCell ref="B32:C32"/>
  </mergeCells>
  <dataValidations count="7">
    <dataValidation type="list" error="Select valid age category" sqref="C8" xr:uid="{00000000-0002-0000-0100-000000000000}">
      <formula1>"Below 60,Senior (60-80),Super Senior (80+)"</formula1>
      <formula2>0</formula2>
    </dataValidation>
    <dataValidation type="list" sqref="C9" xr:uid="{00000000-0002-0000-0100-000001000000}">
      <formula1>"Resident,Non-Resident"</formula1>
      <formula2>0</formula2>
    </dataValidation>
    <dataValidation type="list" sqref="C10" xr:uid="{00000000-0002-0000-0100-000002000000}">
      <formula1>"Salaried,Self-Employed,Pensioner"</formula1>
      <formula2>0</formula2>
    </dataValidation>
    <dataValidation type="list" sqref="C11" xr:uid="{00000000-0002-0000-0100-000003000000}">
      <formula1>"Metro,Non-Metro"</formula1>
      <formula2>0</formula2>
    </dataValidation>
    <dataValidation type="list" sqref="C25" xr:uid="{00000000-0002-0000-0100-000004000000}">
      <formula1>"Self-Occupied,Let Out,No Property"</formula1>
      <formula2>0</formula2>
    </dataValidation>
    <dataValidation type="list" sqref="F8" xr:uid="{00000000-0002-0000-0100-000005000000}">
      <formula1>"Not Applicable,Regular Books,44AD (Business),44ADA (Profession)"</formula1>
      <formula2>0</formula2>
    </dataValidation>
    <dataValidation type="list" sqref="F24" xr:uid="{00000000-0002-0000-0100-000006000000}">
      <formula1>"No,Yes"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"/>
  <sheetViews>
    <sheetView zoomScaleNormal="100" workbookViewId="0"/>
  </sheetViews>
  <sheetFormatPr defaultColWidth="8.7109375" defaultRowHeight="15" x14ac:dyDescent="0.25"/>
  <cols>
    <col min="1" max="1" width="3" customWidth="1"/>
    <col min="2" max="2" width="48" customWidth="1"/>
    <col min="3" max="4" width="24" customWidth="1"/>
    <col min="5" max="5" width="3" customWidth="1"/>
  </cols>
  <sheetData>
    <row r="1" spans="1:5" ht="36" customHeight="1" x14ac:dyDescent="0.25">
      <c r="A1" s="15"/>
      <c r="B1" s="81" t="s">
        <v>195</v>
      </c>
      <c r="C1" s="81"/>
      <c r="D1" s="81"/>
      <c r="E1" s="15"/>
    </row>
    <row r="2" spans="1:5" ht="15" customHeight="1" x14ac:dyDescent="0.25">
      <c r="A2" s="15"/>
      <c r="B2" s="4" t="str">
        <f>IF(INPUT!C7&lt;&gt;"",INPUT!C7&amp;"  •  ","")&amp;"FY 2025-26 (AY 2026-27)  •  Under Income Tax Act, 1961"</f>
        <v>FY 2025-26 (AY 2026-27)  •  Under Income Tax Act, 1961</v>
      </c>
      <c r="C2" s="4"/>
      <c r="D2" s="4"/>
      <c r="E2" s="15"/>
    </row>
    <row r="3" spans="1:5" ht="15" customHeight="1" x14ac:dyDescent="0.25">
      <c r="A3" s="33"/>
      <c r="B3" s="33"/>
      <c r="C3" s="33"/>
      <c r="D3" s="33"/>
      <c r="E3" s="33"/>
    </row>
    <row r="4" spans="1:5" ht="15" customHeight="1" x14ac:dyDescent="0.25">
      <c r="A4" s="33"/>
      <c r="B4" s="34" t="s">
        <v>196</v>
      </c>
      <c r="C4" s="49" t="s">
        <v>197</v>
      </c>
      <c r="D4" s="49" t="s">
        <v>198</v>
      </c>
      <c r="E4" s="33"/>
    </row>
    <row r="5" spans="1:5" ht="15" customHeight="1" x14ac:dyDescent="0.25">
      <c r="A5" s="33"/>
      <c r="B5" s="50" t="s">
        <v>199</v>
      </c>
      <c r="C5" s="51"/>
      <c r="D5" s="51"/>
      <c r="E5" s="33"/>
    </row>
    <row r="6" spans="1:5" ht="15" customHeight="1" x14ac:dyDescent="0.25">
      <c r="A6" s="33"/>
      <c r="B6" s="36" t="s">
        <v>153</v>
      </c>
      <c r="C6" s="52">
        <f>INPUT!C20</f>
        <v>0</v>
      </c>
      <c r="D6" s="52">
        <f>INPUT!C20</f>
        <v>0</v>
      </c>
      <c r="E6" s="33"/>
    </row>
    <row r="7" spans="1:5" ht="15" customHeight="1" x14ac:dyDescent="0.25">
      <c r="A7" s="33"/>
      <c r="B7" s="36" t="s">
        <v>200</v>
      </c>
      <c r="C7" s="52">
        <f>IF(OR(INPUT!C10="Salaried",INPUT!C10="Pensioner"),75000,0)</f>
        <v>75000</v>
      </c>
      <c r="D7" s="52">
        <f>IF(OR(INPUT!C10="Salaried",INPUT!C10="Pensioner"),50000,0)</f>
        <v>50000</v>
      </c>
      <c r="E7" s="33"/>
    </row>
    <row r="8" spans="1:5" ht="15" customHeight="1" x14ac:dyDescent="0.25">
      <c r="A8" s="33"/>
      <c r="B8" s="36" t="s">
        <v>201</v>
      </c>
      <c r="C8" s="52">
        <f>0</f>
        <v>0</v>
      </c>
      <c r="D8" s="52">
        <f>INPUT!C22</f>
        <v>0</v>
      </c>
      <c r="E8" s="33"/>
    </row>
    <row r="9" spans="1:5" ht="15" customHeight="1" x14ac:dyDescent="0.25">
      <c r="A9" s="33"/>
      <c r="B9" s="36" t="s">
        <v>202</v>
      </c>
      <c r="C9" s="52">
        <f>0</f>
        <v>0</v>
      </c>
      <c r="D9" s="52">
        <f>INPUT!C17</f>
        <v>0</v>
      </c>
      <c r="E9" s="33"/>
    </row>
    <row r="10" spans="1:5" ht="15" customHeight="1" x14ac:dyDescent="0.25">
      <c r="A10" s="33"/>
      <c r="B10" s="53" t="s">
        <v>203</v>
      </c>
      <c r="C10" s="52">
        <f>0</f>
        <v>0</v>
      </c>
      <c r="D10" s="52">
        <f>0</f>
        <v>0</v>
      </c>
      <c r="E10" s="33"/>
    </row>
    <row r="11" spans="1:5" ht="15" customHeight="1" x14ac:dyDescent="0.25">
      <c r="A11" s="33"/>
      <c r="B11" s="42" t="s">
        <v>204</v>
      </c>
      <c r="C11" s="48">
        <f>IF(OR(INPUT!C10="Salaried",INPUT!C10="Pensioner"),MAX(0,C6-C7),0)</f>
        <v>0</v>
      </c>
      <c r="D11" s="48">
        <f>IF(OR(INPUT!C10="Salaried",INPUT!C10="Pensioner"),MAX(0,D6-D7-D8-D9),0)</f>
        <v>0</v>
      </c>
      <c r="E11" s="33"/>
    </row>
    <row r="12" spans="1:5" ht="15" customHeight="1" x14ac:dyDescent="0.25">
      <c r="A12" s="33"/>
      <c r="B12" s="33"/>
      <c r="C12" s="33"/>
      <c r="D12" s="33"/>
      <c r="E12" s="33"/>
    </row>
    <row r="13" spans="1:5" ht="15" customHeight="1" x14ac:dyDescent="0.25">
      <c r="A13" s="33"/>
      <c r="B13" s="50" t="s">
        <v>205</v>
      </c>
      <c r="C13" s="51"/>
      <c r="D13" s="51"/>
      <c r="E13" s="33"/>
    </row>
    <row r="14" spans="1:5" ht="15" customHeight="1" x14ac:dyDescent="0.25">
      <c r="A14" s="33"/>
      <c r="B14" s="36" t="s">
        <v>206</v>
      </c>
      <c r="C14" s="52">
        <f>IF(INPUT!C25="No Property",0,IF(INPUT!C25="Self-Occupied",0,MAX(0,MAX(0,INPUT!C26-INPUT!C27)*0.7-INPUT!C28)))</f>
        <v>0</v>
      </c>
      <c r="D14" s="52">
        <f>MAX(-200000,IF(INPUT!C25="No Property",0,IF(INPUT!C25="Self-Occupied",-MIN(INPUT!C28,200000),MAX(0,INPUT!C26-INPUT!C27)*0.7-INPUT!C28)))</f>
        <v>0</v>
      </c>
      <c r="E14" s="33"/>
    </row>
    <row r="15" spans="1:5" ht="15" customHeight="1" x14ac:dyDescent="0.25">
      <c r="A15" s="33"/>
      <c r="B15" s="33"/>
      <c r="C15" s="33"/>
      <c r="D15" s="33"/>
      <c r="E15" s="33"/>
    </row>
    <row r="16" spans="1:5" ht="15" customHeight="1" x14ac:dyDescent="0.25">
      <c r="A16" s="33"/>
      <c r="B16" s="50" t="s">
        <v>207</v>
      </c>
      <c r="C16" s="51"/>
      <c r="D16" s="51"/>
      <c r="E16" s="33"/>
    </row>
    <row r="17" spans="1:5" ht="15" customHeight="1" x14ac:dyDescent="0.25">
      <c r="A17" s="33"/>
      <c r="B17" s="36" t="s">
        <v>208</v>
      </c>
      <c r="C17" s="52">
        <f>INPUT!F10</f>
        <v>0</v>
      </c>
      <c r="D17" s="52">
        <f>INPUT!F10</f>
        <v>0</v>
      </c>
      <c r="E17" s="33"/>
    </row>
    <row r="18" spans="1:5" ht="15" customHeight="1" x14ac:dyDescent="0.25">
      <c r="A18" s="33"/>
      <c r="B18" s="33"/>
      <c r="C18" s="33"/>
      <c r="D18" s="33"/>
      <c r="E18" s="33"/>
    </row>
    <row r="19" spans="1:5" ht="15" customHeight="1" x14ac:dyDescent="0.25">
      <c r="A19" s="33"/>
      <c r="B19" s="50" t="s">
        <v>209</v>
      </c>
      <c r="C19" s="51"/>
      <c r="D19" s="51"/>
      <c r="E19" s="33"/>
    </row>
    <row r="20" spans="1:5" ht="15" customHeight="1" x14ac:dyDescent="0.25">
      <c r="A20" s="33"/>
      <c r="B20" s="36" t="s">
        <v>210</v>
      </c>
      <c r="C20" s="52">
        <f>INPUT!F20</f>
        <v>0</v>
      </c>
      <c r="D20" s="52">
        <f>INPUT!F20</f>
        <v>0</v>
      </c>
      <c r="E20" s="33"/>
    </row>
    <row r="21" spans="1:5" ht="15" customHeight="1" x14ac:dyDescent="0.25">
      <c r="A21" s="33"/>
      <c r="B21" s="36" t="s">
        <v>211</v>
      </c>
      <c r="C21" s="52">
        <f>INPUT!F21</f>
        <v>0</v>
      </c>
      <c r="D21" s="52">
        <f>INPUT!F21</f>
        <v>0</v>
      </c>
      <c r="E21" s="33"/>
    </row>
    <row r="22" spans="1:5" ht="15" customHeight="1" x14ac:dyDescent="0.25">
      <c r="A22" s="33"/>
      <c r="B22" s="36" t="s">
        <v>212</v>
      </c>
      <c r="C22" s="52">
        <f>MAX(0,INPUT!F22-MIN(25000,INPUT!F22/3))</f>
        <v>0</v>
      </c>
      <c r="D22" s="52">
        <f>MAX(0,INPUT!F22-MIN(25000,INPUT!F22/3))</f>
        <v>0</v>
      </c>
      <c r="E22" s="33"/>
    </row>
    <row r="23" spans="1:5" ht="15" customHeight="1" x14ac:dyDescent="0.25">
      <c r="A23" s="33"/>
      <c r="B23" s="36" t="s">
        <v>213</v>
      </c>
      <c r="C23" s="52">
        <f>INPUT!F23</f>
        <v>0</v>
      </c>
      <c r="D23" s="52">
        <f>INPUT!F23</f>
        <v>0</v>
      </c>
      <c r="E23" s="33"/>
    </row>
    <row r="24" spans="1:5" ht="15" customHeight="1" x14ac:dyDescent="0.25">
      <c r="A24" s="33"/>
      <c r="B24" s="36" t="s">
        <v>143</v>
      </c>
      <c r="C24" s="52">
        <f>INPUT!F14</f>
        <v>0</v>
      </c>
      <c r="D24" s="52">
        <f>INPUT!F14</f>
        <v>0</v>
      </c>
      <c r="E24" s="33"/>
    </row>
    <row r="25" spans="1:5" ht="15" customHeight="1" x14ac:dyDescent="0.25">
      <c r="A25" s="33"/>
      <c r="B25" s="33"/>
      <c r="C25" s="33"/>
      <c r="D25" s="33"/>
      <c r="E25" s="33"/>
    </row>
    <row r="26" spans="1:5" ht="15" customHeight="1" x14ac:dyDescent="0.25">
      <c r="A26" s="33"/>
      <c r="B26" s="54" t="s">
        <v>214</v>
      </c>
      <c r="C26" s="55">
        <f>C11+C14+C17+C20+C21+C22+C23+C24</f>
        <v>0</v>
      </c>
      <c r="D26" s="55">
        <f>D11+D14+D17+D20+D21+D22+D23+D24</f>
        <v>0</v>
      </c>
      <c r="E26" s="33"/>
    </row>
    <row r="27" spans="1:5" ht="15" customHeight="1" x14ac:dyDescent="0.25">
      <c r="A27" s="33"/>
      <c r="B27" s="33"/>
      <c r="C27" s="33"/>
      <c r="D27" s="33"/>
      <c r="E27" s="33"/>
    </row>
    <row r="28" spans="1:5" ht="15" customHeight="1" x14ac:dyDescent="0.25">
      <c r="A28" s="33"/>
      <c r="B28" s="50" t="s">
        <v>215</v>
      </c>
      <c r="C28" s="51"/>
      <c r="D28" s="51"/>
      <c r="E28" s="33"/>
    </row>
    <row r="29" spans="1:5" ht="15" customHeight="1" x14ac:dyDescent="0.25">
      <c r="A29" s="33"/>
      <c r="B29" s="36" t="s">
        <v>216</v>
      </c>
      <c r="C29" s="52">
        <f>INPUT!C48</f>
        <v>0</v>
      </c>
      <c r="D29" s="52">
        <f>INPUT!C47</f>
        <v>0</v>
      </c>
      <c r="E29" s="33"/>
    </row>
    <row r="30" spans="1:5" ht="15" customHeight="1" x14ac:dyDescent="0.25">
      <c r="A30" s="33"/>
      <c r="B30" s="33"/>
      <c r="C30" s="33"/>
      <c r="D30" s="33"/>
      <c r="E30" s="33"/>
    </row>
    <row r="31" spans="1:5" ht="15" customHeight="1" x14ac:dyDescent="0.25">
      <c r="A31" s="33"/>
      <c r="B31" s="54" t="s">
        <v>217</v>
      </c>
      <c r="C31" s="55">
        <f>MAX(0,C26-C29)</f>
        <v>0</v>
      </c>
      <c r="D31" s="55">
        <f>MAX(0,D26-D29)</f>
        <v>0</v>
      </c>
      <c r="E31" s="33"/>
    </row>
    <row r="32" spans="1:5" ht="15" customHeight="1" x14ac:dyDescent="0.25">
      <c r="A32" s="33"/>
      <c r="B32" s="33"/>
      <c r="C32" s="33"/>
      <c r="D32" s="33"/>
      <c r="E32" s="33"/>
    </row>
    <row r="33" spans="1:5" ht="15" customHeight="1" x14ac:dyDescent="0.25">
      <c r="A33" s="33"/>
      <c r="B33" s="50" t="s">
        <v>218</v>
      </c>
      <c r="C33" s="51"/>
      <c r="D33" s="51"/>
      <c r="E33" s="33"/>
    </row>
    <row r="34" spans="1:5" ht="15" customHeight="1" x14ac:dyDescent="0.25">
      <c r="A34" s="33"/>
      <c r="B34" s="36" t="s">
        <v>219</v>
      </c>
      <c r="C34" s="52">
        <f>INPUT!F13</f>
        <v>0</v>
      </c>
      <c r="D34" s="52">
        <f>INPUT!F13</f>
        <v>0</v>
      </c>
      <c r="E34" s="33"/>
    </row>
    <row r="35" spans="1:5" ht="15" customHeight="1" x14ac:dyDescent="0.25">
      <c r="A35" s="33"/>
      <c r="B35" s="36" t="s">
        <v>220</v>
      </c>
      <c r="C35" s="52">
        <f>MAX(0,INPUT!F15-125000)</f>
        <v>0</v>
      </c>
      <c r="D35" s="52">
        <f>MAX(0,INPUT!F15-125000)</f>
        <v>0</v>
      </c>
      <c r="E35" s="33"/>
    </row>
    <row r="36" spans="1:5" ht="15" customHeight="1" x14ac:dyDescent="0.25">
      <c r="A36" s="33"/>
      <c r="B36" s="36" t="s">
        <v>147</v>
      </c>
      <c r="C36" s="52">
        <f>INPUT!F16</f>
        <v>0</v>
      </c>
      <c r="D36" s="52">
        <f>INPUT!F16</f>
        <v>0</v>
      </c>
      <c r="E36" s="33"/>
    </row>
    <row r="37" spans="1:5" ht="15" customHeight="1" x14ac:dyDescent="0.25">
      <c r="A37" s="33"/>
      <c r="B37" s="33"/>
      <c r="C37" s="33"/>
      <c r="D37" s="33"/>
      <c r="E37" s="33"/>
    </row>
    <row r="38" spans="1:5" ht="15" customHeight="1" x14ac:dyDescent="0.25">
      <c r="A38" s="33"/>
      <c r="B38" s="34" t="s">
        <v>221</v>
      </c>
      <c r="C38" s="49" t="s">
        <v>197</v>
      </c>
      <c r="D38" s="49" t="s">
        <v>198</v>
      </c>
      <c r="E38" s="33"/>
    </row>
    <row r="39" spans="1:5" ht="15" customHeight="1" x14ac:dyDescent="0.25">
      <c r="A39" s="33"/>
      <c r="B39" s="36" t="s">
        <v>222</v>
      </c>
      <c r="C39" s="52">
        <f>IF(C31&lt;=400000,0,IF(C31&lt;=800000,(C31-400000)*0.05,IF(C31&lt;=1200000,20000+(C31-800000)*0.1,IF(C31&lt;=1600000,60000+(C31-1200000)*0.15,IF(C31&lt;=2000000,120000+(C31-1600000)*0.2,IF(C31&lt;=2400000,200000+(C31-2000000)*0.25,300000+(C31-2400000)*0.3))))))</f>
        <v>0</v>
      </c>
      <c r="D39" s="52">
        <f>IF(AND(INPUT!C8="Super Senior (80+)",INPUT!C9="Resident"),IF(D31&lt;=500000,0,IF(D31&lt;=1000000,(D31-500000)*0.2,100000+(D31-1000000)*0.3)),IF(AND(INPUT!C8="Senior (60-80)",INPUT!C9="Resident"),IF(D31&lt;=300000,0,IF(D31&lt;=500000,(D31-300000)*0.05,IF(D31&lt;=1000000,10000+(D31-500000)*0.2,110000+(D31-1000000)*0.3))),IF(D31&lt;=250000,0,IF(D31&lt;=500000,(D31-250000)*0.05,IF(D31&lt;=1000000,12500+(D31-500000)*0.2,112500+(D31-1000000)*0.3)))))</f>
        <v>0</v>
      </c>
      <c r="E39" s="33"/>
    </row>
    <row r="40" spans="1:5" ht="15" customHeight="1" x14ac:dyDescent="0.25">
      <c r="A40" s="33"/>
      <c r="B40" s="36" t="s">
        <v>223</v>
      </c>
      <c r="C40" s="52">
        <f>C34*0.2</f>
        <v>0</v>
      </c>
      <c r="D40" s="52">
        <f>D34*0.2</f>
        <v>0</v>
      </c>
      <c r="E40" s="33"/>
    </row>
    <row r="41" spans="1:5" ht="15" customHeight="1" x14ac:dyDescent="0.25">
      <c r="A41" s="33"/>
      <c r="B41" s="36" t="s">
        <v>224</v>
      </c>
      <c r="C41" s="52">
        <f>C35*0.125</f>
        <v>0</v>
      </c>
      <c r="D41" s="52">
        <f>D35*0.125</f>
        <v>0</v>
      </c>
      <c r="E41" s="33"/>
    </row>
    <row r="42" spans="1:5" ht="15" customHeight="1" x14ac:dyDescent="0.25">
      <c r="A42" s="33"/>
      <c r="B42" s="36" t="s">
        <v>225</v>
      </c>
      <c r="C42" s="52">
        <f>C36*0.125</f>
        <v>0</v>
      </c>
      <c r="D42" s="52">
        <f>D36*0.125</f>
        <v>0</v>
      </c>
      <c r="E42" s="33"/>
    </row>
    <row r="43" spans="1:5" ht="15" customHeight="1" x14ac:dyDescent="0.25">
      <c r="A43" s="33"/>
      <c r="B43" s="54" t="s">
        <v>226</v>
      </c>
      <c r="C43" s="55">
        <f>SUM(C39:C42)</f>
        <v>0</v>
      </c>
      <c r="D43" s="55">
        <f>SUM(D39:D42)</f>
        <v>0</v>
      </c>
      <c r="E43" s="33"/>
    </row>
    <row r="44" spans="1:5" ht="15" customHeight="1" x14ac:dyDescent="0.25">
      <c r="A44" s="33"/>
      <c r="B44" s="33"/>
      <c r="C44" s="33"/>
      <c r="D44" s="33"/>
      <c r="E44" s="33"/>
    </row>
    <row r="45" spans="1:5" ht="15" customHeight="1" x14ac:dyDescent="0.25">
      <c r="A45" s="33"/>
      <c r="B45" s="36" t="s">
        <v>227</v>
      </c>
      <c r="C45" s="52">
        <f>IF(INPUT!C9="Non-Resident",0,IF(C31&lt;=1200000,MIN(C39,60000),0))</f>
        <v>0</v>
      </c>
      <c r="D45" s="52">
        <f>IF(INPUT!C9="Non-Resident",0,IF(D31&lt;=500000,MIN(D39,12500),0))</f>
        <v>0</v>
      </c>
      <c r="E45" s="33"/>
    </row>
    <row r="46" spans="1:5" ht="15" customHeight="1" x14ac:dyDescent="0.25">
      <c r="A46" s="33"/>
      <c r="B46" s="36" t="s">
        <v>228</v>
      </c>
      <c r="C46" s="52">
        <f>IF(AND(INPUT!C9="Resident",C31&gt;1200000,C31&lt;=1275000,C39&gt;(C31-1200000)),C39-(C31-1200000),0)</f>
        <v>0</v>
      </c>
      <c r="D46" s="52">
        <f>0</f>
        <v>0</v>
      </c>
      <c r="E46" s="33"/>
    </row>
    <row r="47" spans="1:5" ht="15" customHeight="1" x14ac:dyDescent="0.25">
      <c r="A47" s="33"/>
      <c r="B47" s="54" t="s">
        <v>229</v>
      </c>
      <c r="C47" s="55">
        <f>MAX(0,C43-C45-C46)</f>
        <v>0</v>
      </c>
      <c r="D47" s="55">
        <f>MAX(0,D43-D45)</f>
        <v>0</v>
      </c>
      <c r="E47" s="33"/>
    </row>
    <row r="48" spans="1:5" ht="15" customHeight="1" x14ac:dyDescent="0.25">
      <c r="A48" s="33"/>
      <c r="B48" s="33"/>
      <c r="C48" s="33"/>
      <c r="D48" s="33"/>
      <c r="E48" s="33"/>
    </row>
    <row r="49" spans="1:5" ht="15" customHeight="1" x14ac:dyDescent="0.25">
      <c r="A49" s="33"/>
      <c r="B49" s="36" t="s">
        <v>230</v>
      </c>
      <c r="C49" s="52">
        <f>IF((C31+C34+C35+C36)&lt;=5000000,0,IF((C31+C34+C35+C36)&lt;=10000000,C47*0.1,IF((C31+C34+C35+C36)&lt;=20000000,C47*0.15,C47*0.25)))</f>
        <v>0</v>
      </c>
      <c r="D49" s="52">
        <f>IF((D31+D34+D35+D36)&lt;=5000000,0,IF((D31+D34+D35+D36)&lt;=10000000,D47*0.1,IF((D31+D34+D35+D36)&lt;=20000000,D47*0.15,IF((D31+D34+D35+D36)&lt;=50000000,D47*0.25,D47*0.37))))</f>
        <v>0</v>
      </c>
      <c r="E49" s="33"/>
    </row>
    <row r="50" spans="1:5" ht="15" customHeight="1" x14ac:dyDescent="0.25">
      <c r="A50" s="33"/>
      <c r="B50" s="42" t="s">
        <v>231</v>
      </c>
      <c r="C50" s="48">
        <f>C47+C49</f>
        <v>0</v>
      </c>
      <c r="D50" s="48">
        <f>D47+D49</f>
        <v>0</v>
      </c>
      <c r="E50" s="33"/>
    </row>
    <row r="51" spans="1:5" ht="15" customHeight="1" x14ac:dyDescent="0.25">
      <c r="A51" s="33"/>
      <c r="B51" s="36" t="s">
        <v>232</v>
      </c>
      <c r="C51" s="52">
        <f>C50*0.04</f>
        <v>0</v>
      </c>
      <c r="D51" s="52">
        <f>D50*0.04</f>
        <v>0</v>
      </c>
      <c r="E51" s="33"/>
    </row>
    <row r="52" spans="1:5" ht="15" customHeight="1" x14ac:dyDescent="0.25">
      <c r="A52" s="33"/>
      <c r="B52" s="56" t="s">
        <v>233</v>
      </c>
      <c r="C52" s="57">
        <f>C50+C51</f>
        <v>0</v>
      </c>
      <c r="D52" s="57">
        <f>D50+D51</f>
        <v>0</v>
      </c>
      <c r="E52" s="33"/>
    </row>
    <row r="53" spans="1:5" ht="15" customHeight="1" x14ac:dyDescent="0.25">
      <c r="A53" s="33"/>
      <c r="B53" s="33"/>
      <c r="C53" s="33"/>
      <c r="D53" s="33"/>
      <c r="E53" s="33"/>
    </row>
    <row r="54" spans="1:5" ht="15" customHeight="1" x14ac:dyDescent="0.25">
      <c r="A54" s="33"/>
      <c r="B54" s="36" t="s">
        <v>234</v>
      </c>
      <c r="C54" s="52">
        <f>INPUT!F31</f>
        <v>0</v>
      </c>
      <c r="D54" s="52">
        <f>INPUT!F31</f>
        <v>0</v>
      </c>
      <c r="E54" s="33"/>
    </row>
    <row r="55" spans="1:5" ht="15" customHeight="1" x14ac:dyDescent="0.25">
      <c r="A55" s="33"/>
      <c r="B55" s="54" t="s">
        <v>235</v>
      </c>
      <c r="C55" s="58">
        <f>C52-C54</f>
        <v>0</v>
      </c>
      <c r="D55" s="58">
        <f>D52-D54</f>
        <v>0</v>
      </c>
      <c r="E55" s="33"/>
    </row>
    <row r="56" spans="1:5" ht="15" customHeight="1" x14ac:dyDescent="0.25">
      <c r="A56" s="33"/>
      <c r="B56" s="33"/>
      <c r="C56" s="33"/>
      <c r="D56" s="33"/>
      <c r="E56" s="33"/>
    </row>
    <row r="57" spans="1:5" ht="15" customHeight="1" x14ac:dyDescent="0.25">
      <c r="A57" s="33"/>
      <c r="B57" s="36" t="s">
        <v>236</v>
      </c>
      <c r="C57" s="59">
        <f>IF(C52&lt;D52,D52-C52,0)</f>
        <v>0</v>
      </c>
      <c r="D57" s="59">
        <f>IF(D52&lt;C52,C52-D52,0)</f>
        <v>0</v>
      </c>
      <c r="E57" s="33"/>
    </row>
    <row r="58" spans="1:5" ht="15" customHeight="1" x14ac:dyDescent="0.25">
      <c r="A58" s="33"/>
      <c r="B58" s="33"/>
      <c r="C58" s="33"/>
      <c r="D58" s="33"/>
      <c r="E58" s="33"/>
    </row>
    <row r="59" spans="1:5" ht="15" customHeight="1" x14ac:dyDescent="0.25">
      <c r="A59" s="33"/>
      <c r="B59" s="60" t="s">
        <v>237</v>
      </c>
      <c r="C59" s="61">
        <f>IF(OR(INPUT!C10="Salaried",INPUT!C10="Pensioner"),50000,0)+INPUT!C22+INPUT!C17+INPUT!C47+IF(INPUT!C25="Self-Occupied",MIN(INPUT!C28,200000),0)</f>
        <v>50000</v>
      </c>
      <c r="D59" s="33"/>
      <c r="E59" s="33"/>
    </row>
    <row r="60" spans="1:5" ht="15" customHeight="1" x14ac:dyDescent="0.25">
      <c r="A60" s="33"/>
      <c r="B60" s="62" t="s">
        <v>238</v>
      </c>
      <c r="C60" s="63">
        <f>IF(C26=0,0,IF(C52&lt;D52,C59+ROUND((D52-C52)/IF(D31&gt;1000000,0.312,IF(D31&gt;500000,0.208,0.052)),0),MAX(0,C59-ROUND((C52-D52)/IF(D31&gt;1000000,0.312,IF(D31&gt;500000,0.208,0.052)),0))))</f>
        <v>0</v>
      </c>
      <c r="D60" s="33"/>
      <c r="E60" s="33"/>
    </row>
    <row r="61" spans="1:5" ht="15" customHeight="1" x14ac:dyDescent="0.25">
      <c r="A61" s="33"/>
      <c r="B61" s="82" t="s">
        <v>239</v>
      </c>
      <c r="C61" s="82"/>
      <c r="D61" s="82"/>
      <c r="E61" s="33"/>
    </row>
    <row r="62" spans="1:5" ht="15" customHeight="1" x14ac:dyDescent="0.25">
      <c r="A62" s="33"/>
      <c r="B62" s="33"/>
      <c r="C62" s="33"/>
      <c r="D62" s="33"/>
      <c r="E62" s="33"/>
    </row>
    <row r="63" spans="1:5" ht="15" customHeight="1" x14ac:dyDescent="0.25">
      <c r="A63" s="33"/>
      <c r="B63" s="33"/>
      <c r="C63" s="33"/>
      <c r="D63" s="33"/>
      <c r="E63" s="33"/>
    </row>
    <row r="64" spans="1:5" ht="15" customHeight="1" x14ac:dyDescent="0.25">
      <c r="A64" s="33"/>
      <c r="B64" s="33"/>
      <c r="C64" s="33"/>
      <c r="D64" s="33"/>
      <c r="E64" s="33"/>
    </row>
    <row r="65" spans="1:5" ht="15" customHeight="1" x14ac:dyDescent="0.25">
      <c r="A65" s="33"/>
      <c r="B65" s="33"/>
      <c r="C65" s="33"/>
      <c r="D65" s="33"/>
      <c r="E65" s="33"/>
    </row>
    <row r="66" spans="1:5" ht="15" customHeight="1" x14ac:dyDescent="0.25">
      <c r="A66" s="33"/>
      <c r="B66" s="33"/>
      <c r="C66" s="33"/>
      <c r="D66" s="33"/>
      <c r="E66" s="33"/>
    </row>
    <row r="67" spans="1:5" ht="15" customHeight="1" x14ac:dyDescent="0.25">
      <c r="A67" s="33"/>
      <c r="B67" s="33"/>
      <c r="C67" s="33"/>
      <c r="D67" s="33"/>
      <c r="E67" s="33"/>
    </row>
    <row r="68" spans="1:5" ht="15" customHeight="1" x14ac:dyDescent="0.25">
      <c r="A68" s="33"/>
      <c r="B68" s="33"/>
      <c r="C68" s="33"/>
      <c r="D68" s="33"/>
      <c r="E68" s="33"/>
    </row>
    <row r="69" spans="1:5" ht="15" customHeight="1" x14ac:dyDescent="0.25">
      <c r="A69" s="33"/>
      <c r="B69" s="33"/>
      <c r="C69" s="33"/>
      <c r="D69" s="33"/>
      <c r="E69" s="33"/>
    </row>
    <row r="70" spans="1:5" ht="15" customHeight="1" x14ac:dyDescent="0.25">
      <c r="A70" s="33"/>
      <c r="B70" s="33"/>
      <c r="C70" s="33"/>
      <c r="D70" s="33"/>
      <c r="E70" s="33"/>
    </row>
    <row r="71" spans="1:5" ht="15" customHeight="1" x14ac:dyDescent="0.25">
      <c r="A71" s="33"/>
      <c r="B71" s="33"/>
      <c r="C71" s="33"/>
      <c r="D71" s="33"/>
      <c r="E71" s="33"/>
    </row>
    <row r="72" spans="1:5" ht="15" customHeight="1" x14ac:dyDescent="0.25">
      <c r="A72" s="33"/>
      <c r="B72" s="33"/>
      <c r="C72" s="33"/>
      <c r="D72" s="33"/>
      <c r="E72" s="33"/>
    </row>
    <row r="73" spans="1:5" ht="15" customHeight="1" x14ac:dyDescent="0.25">
      <c r="A73" s="33"/>
      <c r="B73" s="33"/>
      <c r="C73" s="33"/>
      <c r="D73" s="33"/>
      <c r="E73" s="33"/>
    </row>
    <row r="74" spans="1:5" ht="15" customHeight="1" x14ac:dyDescent="0.25">
      <c r="A74" s="33"/>
      <c r="B74" s="33"/>
      <c r="C74" s="33"/>
      <c r="D74" s="33"/>
      <c r="E74" s="33"/>
    </row>
  </sheetData>
  <mergeCells count="3">
    <mergeCell ref="B1:D1"/>
    <mergeCell ref="B2:D2"/>
    <mergeCell ref="B61:D6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topLeftCell="A20" zoomScaleNormal="100" workbookViewId="0">
      <selection activeCell="R40" sqref="R40"/>
    </sheetView>
  </sheetViews>
  <sheetFormatPr defaultColWidth="8.7109375" defaultRowHeight="15" x14ac:dyDescent="0.25"/>
  <cols>
    <col min="1" max="1" width="2" customWidth="1"/>
    <col min="2" max="2" width="5" customWidth="1"/>
    <col min="3" max="4" width="16" customWidth="1"/>
    <col min="5" max="5" width="4" customWidth="1"/>
    <col min="6" max="7" width="16" customWidth="1"/>
    <col min="8" max="8" width="4" customWidth="1"/>
    <col min="9" max="10" width="16" customWidth="1"/>
    <col min="11" max="11" width="15.140625" customWidth="1"/>
    <col min="12" max="12" width="2" customWidth="1"/>
  </cols>
  <sheetData>
    <row r="1" spans="1:12" ht="43.5" customHeight="1" x14ac:dyDescent="0.25">
      <c r="A1" s="15"/>
      <c r="B1" s="83" t="s">
        <v>240</v>
      </c>
      <c r="C1" s="83"/>
      <c r="D1" s="83"/>
      <c r="E1" s="83"/>
      <c r="F1" s="83"/>
      <c r="G1" s="83"/>
      <c r="H1" s="83"/>
      <c r="I1" s="83"/>
      <c r="J1" s="83"/>
      <c r="K1" s="83"/>
      <c r="L1" s="15"/>
    </row>
    <row r="2" spans="1:12" ht="21.75" customHeight="1" x14ac:dyDescent="0.25">
      <c r="A2" s="15"/>
      <c r="B2" s="84" t="str">
        <f>IF(INPUT!C7&lt;&gt;"","  "&amp;INPUT!C7&amp;"  •  ","  ")&amp;"FY 2025-26  •  AY 2026-27"</f>
        <v xml:space="preserve">  FY 2025-26  •  AY 2026-27</v>
      </c>
      <c r="C2" s="84"/>
      <c r="D2" s="84"/>
      <c r="E2" s="84"/>
      <c r="F2" s="84"/>
      <c r="G2" s="84"/>
      <c r="H2" s="84"/>
      <c r="I2" s="84"/>
      <c r="J2" s="84"/>
      <c r="K2" s="84"/>
      <c r="L2" s="15"/>
    </row>
    <row r="3" spans="1:12" ht="7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43.5" customHeight="1" x14ac:dyDescent="0.25">
      <c r="A4" s="64"/>
      <c r="B4" s="65"/>
      <c r="C4" s="85" t="str">
        <f>IF(COMPUTATION!C52&lt;COMPUTATION!D52,"✅  NEW REGIME RECOMMENDED",IF(COMPUTATION!C52&gt;COMPUTATION!D52,"✅  OLD REGIME RECOMMENDED","⚖  BOTH REGIMES EQUAL"))</f>
        <v>⚖  BOTH REGIMES EQUAL</v>
      </c>
      <c r="D4" s="85"/>
      <c r="E4" s="85"/>
      <c r="F4" s="85"/>
      <c r="G4" s="85"/>
      <c r="H4" s="85"/>
      <c r="I4" s="85"/>
      <c r="J4" s="85"/>
      <c r="K4" s="66"/>
      <c r="L4" s="64"/>
    </row>
    <row r="5" spans="1:12" ht="30" customHeight="1" x14ac:dyDescent="0.25">
      <c r="A5" s="64"/>
      <c r="B5" s="67"/>
      <c r="C5" s="86" t="str">
        <f>IF(COMPUTATION!C52&lt;COMPUTATION!D52,"You save ₹"&amp;TEXT(COMPUTATION!D52-COMPUTATION!C52,"##,##0")&amp;" by choosing the New Regime",IF(COMPUTATION!C52&gt;COMPUTATION!D52,"You save ₹"&amp;TEXT(COMPUTATION!C52-COMPUTATION!D52,"##,##0")&amp;" by choosing the Old Regime","No difference — choose New Regime for simplicity"))</f>
        <v>No difference — choose New Regime for simplicity</v>
      </c>
      <c r="D5" s="86"/>
      <c r="E5" s="86"/>
      <c r="F5" s="86"/>
      <c r="G5" s="86"/>
      <c r="H5" s="86"/>
      <c r="I5" s="86"/>
      <c r="J5" s="86"/>
      <c r="K5" s="68"/>
      <c r="L5" s="64"/>
    </row>
    <row r="6" spans="1:12" ht="7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21.75" customHeight="1" x14ac:dyDescent="0.25">
      <c r="A7" s="64"/>
      <c r="B7" s="87" t="s">
        <v>241</v>
      </c>
      <c r="C7" s="87"/>
      <c r="D7" s="87"/>
      <c r="E7" s="88" t="s">
        <v>242</v>
      </c>
      <c r="F7" s="88"/>
      <c r="G7" s="88"/>
      <c r="H7" s="89" t="s">
        <v>243</v>
      </c>
      <c r="I7" s="89"/>
      <c r="J7" s="89"/>
      <c r="K7" s="69" t="s">
        <v>244</v>
      </c>
      <c r="L7" s="64"/>
    </row>
    <row r="8" spans="1:12" ht="25.5" customHeight="1" x14ac:dyDescent="0.25">
      <c r="A8" s="64"/>
      <c r="B8" s="90">
        <f>COMPUTATION!C26</f>
        <v>0</v>
      </c>
      <c r="C8" s="90"/>
      <c r="D8" s="90"/>
      <c r="E8" s="91">
        <f>COMPUTATION!C52</f>
        <v>0</v>
      </c>
      <c r="F8" s="91"/>
      <c r="G8" s="91"/>
      <c r="H8" s="92">
        <f>COMPUTATION!D52</f>
        <v>0</v>
      </c>
      <c r="I8" s="92"/>
      <c r="J8" s="92"/>
      <c r="K8" s="93">
        <f>ABS(COMPUTATION!C52-COMPUTATION!D52)</f>
        <v>0</v>
      </c>
      <c r="L8" s="64"/>
    </row>
    <row r="9" spans="1:12" ht="21.75" customHeight="1" x14ac:dyDescent="0.25">
      <c r="A9" s="64"/>
      <c r="B9" s="90"/>
      <c r="C9" s="90"/>
      <c r="D9" s="90"/>
      <c r="E9" s="91"/>
      <c r="F9" s="91"/>
      <c r="G9" s="91"/>
      <c r="H9" s="92"/>
      <c r="I9" s="92"/>
      <c r="J9" s="92"/>
      <c r="K9" s="93"/>
      <c r="L9" s="64"/>
    </row>
    <row r="10" spans="1:12" ht="19.5" customHeight="1" x14ac:dyDescent="0.25">
      <c r="A10" s="64"/>
      <c r="B10" s="94" t="s">
        <v>245</v>
      </c>
      <c r="C10" s="94"/>
      <c r="D10" s="94"/>
      <c r="E10" s="94" t="str">
        <f>"ETR: "&amp;TEXT(IF(COMPUTATION!C26=0,0,COMPUTATION!C52/COMPUTATION!C26),"0.00%")</f>
        <v>ETR: 0.00%</v>
      </c>
      <c r="F10" s="94"/>
      <c r="G10" s="94"/>
      <c r="H10" s="94" t="str">
        <f>"ETR: "&amp;TEXT(IF(COMPUTATION!D26=0,0,COMPUTATION!D52/COMPUTATION!D26),"0.00%")</f>
        <v>ETR: 0.00%</v>
      </c>
      <c r="I10" s="94"/>
      <c r="J10" s="94"/>
      <c r="K10" s="70" t="s">
        <v>246</v>
      </c>
      <c r="L10" s="64"/>
    </row>
    <row r="11" spans="1:12" ht="7.5" customHeight="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ht="21.75" customHeight="1" x14ac:dyDescent="0.25">
      <c r="A12" s="64"/>
      <c r="B12" s="95" t="s">
        <v>247</v>
      </c>
      <c r="C12" s="95"/>
      <c r="D12" s="95"/>
      <c r="E12" s="96" t="s">
        <v>248</v>
      </c>
      <c r="F12" s="96"/>
      <c r="G12" s="96"/>
      <c r="H12" s="97" t="s">
        <v>249</v>
      </c>
      <c r="I12" s="97"/>
      <c r="J12" s="97"/>
      <c r="K12" s="97"/>
      <c r="L12" s="64"/>
    </row>
    <row r="13" spans="1:12" ht="24" customHeight="1" x14ac:dyDescent="0.25">
      <c r="A13" s="64"/>
      <c r="B13" s="98">
        <f>IF(COMPUTATION!C52&lt;COMPUTATION!D52,COMPUTATION!C55,COMPUTATION!D55)</f>
        <v>0</v>
      </c>
      <c r="C13" s="98"/>
      <c r="D13" s="98"/>
      <c r="E13" s="99">
        <f>IF(COMPUTATION!C26=0,0,IF(COMPUTATION!C52&lt;COMPUTATION!D52,COMPUTATION!C52/COMPUTATION!C26*100,COMPUTATION!D52/COMPUTATION!D26*100))</f>
        <v>0</v>
      </c>
      <c r="F13" s="99"/>
      <c r="G13" s="99"/>
      <c r="H13" s="100">
        <f>COMPUTATION!C59</f>
        <v>50000</v>
      </c>
      <c r="I13" s="100"/>
      <c r="J13" s="101">
        <f>COMPUTATION!C60</f>
        <v>0</v>
      </c>
      <c r="K13" s="101"/>
      <c r="L13" s="64"/>
    </row>
    <row r="14" spans="1:12" ht="21.75" customHeight="1" x14ac:dyDescent="0.25">
      <c r="A14" s="64"/>
      <c r="B14" s="98"/>
      <c r="C14" s="98"/>
      <c r="D14" s="98"/>
      <c r="E14" s="99"/>
      <c r="F14" s="99"/>
      <c r="G14" s="99"/>
      <c r="H14" s="100"/>
      <c r="I14" s="100"/>
      <c r="J14" s="101"/>
      <c r="K14" s="101"/>
      <c r="L14" s="64"/>
    </row>
    <row r="15" spans="1:12" ht="19.5" customHeight="1" x14ac:dyDescent="0.25">
      <c r="A15" s="64"/>
      <c r="B15" s="94" t="str">
        <f>IF(IF(COMPUTATION!C52&lt;COMPUTATION!D52,COMPUTATION!C55,COMPUTATION!D55)&lt;0,"💰 Refund Due","Tax Payable")</f>
        <v>Tax Payable</v>
      </c>
      <c r="C15" s="94"/>
      <c r="D15" s="94"/>
      <c r="E15" s="94" t="s">
        <v>250</v>
      </c>
      <c r="F15" s="94"/>
      <c r="G15" s="94"/>
      <c r="H15" s="102" t="s">
        <v>251</v>
      </c>
      <c r="I15" s="102"/>
      <c r="J15" s="103" t="s">
        <v>252</v>
      </c>
      <c r="K15" s="103"/>
      <c r="L15" s="64"/>
    </row>
    <row r="16" spans="1:12" ht="7.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3" ht="30" customHeight="1" x14ac:dyDescent="0.25">
      <c r="A17" s="64"/>
      <c r="B17" s="104" t="s">
        <v>253</v>
      </c>
      <c r="C17" s="104"/>
      <c r="D17" s="104"/>
      <c r="E17" s="104"/>
      <c r="F17" s="104"/>
      <c r="G17" s="104"/>
      <c r="H17" s="105" t="s">
        <v>254</v>
      </c>
      <c r="I17" s="105"/>
      <c r="J17" s="71" t="s">
        <v>255</v>
      </c>
      <c r="K17" s="72" t="s">
        <v>256</v>
      </c>
      <c r="L17" s="64"/>
    </row>
    <row r="18" spans="1:13" ht="21.75" customHeight="1" x14ac:dyDescent="0.25">
      <c r="A18" s="64"/>
      <c r="B18" s="106" t="str">
        <f>"▸ Gross income: ₹"&amp;TEXT(COMPUTATION!C26,"##,##0")&amp;" → Taxable: ₹"&amp;TEXT(COMPUTATION!C31,"##,##0")&amp;" (New) / ₹"&amp;TEXT(COMPUTATION!D31,"##,##0")&amp;" (Old)"</f>
        <v>▸ Gross income: ₹0 → Taxable: ₹0 (New) / ₹0 (Old)</v>
      </c>
      <c r="C18" s="106"/>
      <c r="D18" s="106"/>
      <c r="E18" s="106"/>
      <c r="F18" s="106"/>
      <c r="G18" s="106"/>
      <c r="H18" s="107" t="s">
        <v>257</v>
      </c>
      <c r="I18" s="107"/>
      <c r="J18" s="73">
        <f>COMPUTATION!C26</f>
        <v>0</v>
      </c>
      <c r="K18" s="74">
        <f>COMPUTATION!D26</f>
        <v>0</v>
      </c>
      <c r="L18" s="64"/>
    </row>
    <row r="19" spans="1:13" ht="21.75" customHeight="1" x14ac:dyDescent="0.25">
      <c r="A19" s="64"/>
      <c r="B19" s="106" t="str">
        <f>"▸ Tax: ₹"&amp;TEXT(COMPUTATION!C52,"##,##0")&amp;" (New) vs ₹"&amp;TEXT(COMPUTATION!D52,"##,##0")&amp;" (Old) — Difference: ₹"&amp;TEXT(ABS(COMPUTATION!C52-COMPUTATION!D52),"##,##0")</f>
        <v>▸ Tax: ₹0 (New) vs ₹0 (Old) — Difference: ₹0</v>
      </c>
      <c r="C19" s="106"/>
      <c r="D19" s="106"/>
      <c r="E19" s="106"/>
      <c r="F19" s="106"/>
      <c r="G19" s="106"/>
      <c r="H19" s="107" t="s">
        <v>258</v>
      </c>
      <c r="I19" s="107"/>
      <c r="J19" s="73">
        <f>COMPUTATION!C29</f>
        <v>0</v>
      </c>
      <c r="K19" s="74">
        <f>COMPUTATION!D29</f>
        <v>0</v>
      </c>
      <c r="L19" s="64"/>
    </row>
    <row r="20" spans="1:13" ht="21.75" customHeight="1" x14ac:dyDescent="0.25">
      <c r="A20" s="64"/>
      <c r="B20" s="106" t="str">
        <f>"▸ You pay ₹"&amp;TEXT(IF(COMPUTATION!C26=0,0,ROUND(IF(COMPUTATION!C52&lt;COMPUTATION!D52,COMPUTATION!C52,COMPUTATION!D52)/COMPUTATION!C26*100,2)),"0.00")&amp;" tax per ₹100 earned (best regime)"</f>
        <v>▸ You pay ₹0.00 tax per ₹100 earned (best regime)</v>
      </c>
      <c r="C20" s="106"/>
      <c r="D20" s="106"/>
      <c r="E20" s="106"/>
      <c r="F20" s="106"/>
      <c r="G20" s="106"/>
      <c r="H20" s="107" t="s">
        <v>259</v>
      </c>
      <c r="I20" s="107"/>
      <c r="J20" s="73">
        <f>COMPUTATION!C31</f>
        <v>0</v>
      </c>
      <c r="K20" s="74">
        <f>COMPUTATION!D31</f>
        <v>0</v>
      </c>
      <c r="L20" s="64"/>
    </row>
    <row r="21" spans="1:13" ht="21.75" customHeight="1" x14ac:dyDescent="0.25">
      <c r="A21" s="64"/>
      <c r="B21" s="106" t="str">
        <f>IF(COMPUTATION!D52&gt;COMPUTATION!C52,"▸ To benefit from Old Regime, total exemptions + deductions (HRA, 80C, 80D, NPS, all) must be ₹"&amp;TEXT(COMPUTATION!C60,"##,##0")&amp;". You claim ₹"&amp;TEXT(COMPUTATION!C59,"##,##0")&amp;".",IF(COMPUTATION!D52&lt;COMPUTATION!C52,"▸ Your total exemptions + deductions of ₹"&amp;TEXT(COMPUTATION!C59,"##,##0")&amp;" make Old Regime better by ₹"&amp;TEXT(COMPUTATION!C52-COMPUTATION!D52,"##,##0")&amp;"!","▸ Both regimes equal — New is simpler, go with it."))</f>
        <v>▸ Both regimes equal — New is simpler, go with it.</v>
      </c>
      <c r="C21" s="106"/>
      <c r="D21" s="106"/>
      <c r="E21" s="106"/>
      <c r="F21" s="106"/>
      <c r="G21" s="106"/>
      <c r="H21" s="107" t="s">
        <v>260</v>
      </c>
      <c r="I21" s="107"/>
      <c r="J21" s="73">
        <f>COMPUTATION!C39</f>
        <v>0</v>
      </c>
      <c r="K21" s="74">
        <f>COMPUTATION!D39</f>
        <v>0</v>
      </c>
      <c r="L21" s="64"/>
    </row>
    <row r="22" spans="1:13" ht="21.75" customHeight="1" x14ac:dyDescent="0.25">
      <c r="A22" s="64"/>
      <c r="B22" s="106" t="str">
        <f>IF(AND(INPUT!C9="Resident",COMPUTATION!C31&lt;=1200000),"▸ 87A rebate of ₹"&amp;TEXT(COMPUTATION!C45,"##,##0")&amp;" applied — income up to ₹12L tax-free!",IF(COMPUTATION!C52=0,"▸ Zero tax under New Regime!","▸ Income exceeds ₹12L rebate threshold"))</f>
        <v>▸ 87A rebate of ₹0 applied — income up to ₹12L tax-free!</v>
      </c>
      <c r="C22" s="106"/>
      <c r="D22" s="106"/>
      <c r="E22" s="106"/>
      <c r="F22" s="106"/>
      <c r="G22" s="106"/>
      <c r="H22" s="107" t="s">
        <v>261</v>
      </c>
      <c r="I22" s="107"/>
      <c r="J22" s="73">
        <f>COMPUTATION!C40+COMPUTATION!C41+COMPUTATION!C42</f>
        <v>0</v>
      </c>
      <c r="K22" s="74">
        <f>COMPUTATION!D40+COMPUTATION!D41+COMPUTATION!D42</f>
        <v>0</v>
      </c>
      <c r="L22" s="64"/>
    </row>
    <row r="23" spans="1:13" ht="21.75" customHeight="1" x14ac:dyDescent="0.25">
      <c r="A23" s="64"/>
      <c r="B23" s="106" t="str">
        <f>IF(INPUT!C19&gt;0,"▸ Employer NPS ₹"&amp;TEXT(INPUT!C19,"##,##0")&amp;" deducted in BOTH regimes (80CCD(2))","▸ Tip: Employer NPS is deductible in BOTH regimes — up to 14% of Basic+DA")</f>
        <v>▸ Tip: Employer NPS is deductible in BOTH regimes — up to 14% of Basic+DA</v>
      </c>
      <c r="C23" s="106"/>
      <c r="D23" s="106"/>
      <c r="E23" s="106"/>
      <c r="F23" s="106"/>
      <c r="G23" s="106"/>
      <c r="H23" s="107" t="s">
        <v>262</v>
      </c>
      <c r="I23" s="107"/>
      <c r="J23" s="73">
        <f>COMPUTATION!C45+COMPUTATION!C46</f>
        <v>0</v>
      </c>
      <c r="K23" s="74">
        <f>COMPUTATION!D45</f>
        <v>0</v>
      </c>
      <c r="L23" s="64"/>
    </row>
    <row r="24" spans="1:13" ht="21.75" customHeight="1" x14ac:dyDescent="0.25">
      <c r="A24" s="64"/>
      <c r="B24" s="106" t="str">
        <f>IF(COMPUTATION!C49&gt;0,"▸ ⚠ Surcharge of ₹"&amp;TEXT(COMPUTATION!C49,"##,##0")&amp;" applies — you are in the surcharge zone","")</f>
        <v/>
      </c>
      <c r="C24" s="106"/>
      <c r="D24" s="106"/>
      <c r="E24" s="106"/>
      <c r="F24" s="106"/>
      <c r="G24" s="106"/>
      <c r="H24" s="107" t="s">
        <v>263</v>
      </c>
      <c r="I24" s="107"/>
      <c r="J24" s="73">
        <f>COMPUTATION!C49+COMPUTATION!C51</f>
        <v>0</v>
      </c>
      <c r="K24" s="74">
        <f>COMPUTATION!D49+COMPUTATION!D51</f>
        <v>0</v>
      </c>
      <c r="L24" s="64"/>
    </row>
    <row r="25" spans="1:13" ht="25.5" customHeight="1" x14ac:dyDescent="0.25">
      <c r="A25" s="64"/>
      <c r="B25" s="108" t="str">
        <f>IF(COMPUTATION!C59&gt;=COMPUTATION!C60,"  ✅ Your exemptions + deductions ("&amp;TEXT(COMPUTATION!C59,"##,##0")&amp;") exceed breakeven ("&amp;TEXT(COMPUTATION!C60,"##,##0")&amp;") — Old Regime wins!","  ⬆ Need ₹"&amp;TEXT(MAX(0,COMPUTATION!C60-COMPUTATION!C59),"##,##0")&amp;" more in exemptions + deductions for Old to win. Stick with New.")</f>
        <v xml:space="preserve">  ✅ Your exemptions + deductions (50,000) exceed breakeven (0) — Old Regime wins!</v>
      </c>
      <c r="C25" s="108"/>
      <c r="D25" s="108"/>
      <c r="E25" s="108"/>
      <c r="F25" s="108"/>
      <c r="G25" s="108"/>
      <c r="H25" s="109" t="s">
        <v>264</v>
      </c>
      <c r="I25" s="109"/>
      <c r="J25" s="75">
        <f>COMPUTATION!C52</f>
        <v>0</v>
      </c>
      <c r="K25" s="76">
        <f>COMPUTATION!D52</f>
        <v>0</v>
      </c>
      <c r="L25" s="64"/>
    </row>
    <row r="26" spans="1:13" ht="7.5" customHeight="1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3" ht="15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  <row r="28" spans="1:13" ht="1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77" t="s">
        <v>265</v>
      </c>
      <c r="M28" s="78">
        <f>COMPUTATION!C52</f>
        <v>0</v>
      </c>
    </row>
    <row r="29" spans="1:13" ht="1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77" t="s">
        <v>266</v>
      </c>
      <c r="M29" s="78">
        <f>COMPUTATION!D52</f>
        <v>0</v>
      </c>
    </row>
    <row r="30" spans="1:13" ht="15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1:13" ht="1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77" t="s">
        <v>267</v>
      </c>
      <c r="M31" s="79">
        <f>IF(COMPUTATION!C26=0,0,COMPUTATION!C52/COMPUTATION!C26)</f>
        <v>0</v>
      </c>
    </row>
    <row r="32" spans="1:13" ht="15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77" t="s">
        <v>268</v>
      </c>
      <c r="M32" s="79">
        <f>IF(COMPUTATION!D26=0,0,COMPUTATION!D52/COMPUTATION!D26)</f>
        <v>0</v>
      </c>
    </row>
    <row r="33" spans="1:12" ht="15" customHeight="1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</row>
    <row r="34" spans="1:12" ht="15" customHeigh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ht="1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15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ht="1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12" ht="1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ht="1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 ht="1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ht="1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ht="15" customHeight="1" x14ac:dyDescent="0.25">
      <c r="A42" s="64"/>
      <c r="B42" s="110" t="s">
        <v>239</v>
      </c>
      <c r="C42" s="110"/>
      <c r="D42" s="110"/>
      <c r="E42" s="110"/>
      <c r="F42" s="110"/>
      <c r="G42" s="110"/>
      <c r="H42" s="110"/>
      <c r="I42" s="110"/>
      <c r="J42" s="110"/>
      <c r="K42" s="110"/>
      <c r="L42" s="64"/>
    </row>
    <row r="43" spans="1:12" ht="1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2" ht="15" customHeight="1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12" ht="1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ht="1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ht="15" customHeight="1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2" ht="15" customHeight="1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 ht="15" customHeight="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 ht="15" customHeigh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2" ht="15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 ht="15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ht="15" customHeight="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2" ht="15" customHeight="1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</sheetData>
  <mergeCells count="44">
    <mergeCell ref="B24:G24"/>
    <mergeCell ref="H24:I24"/>
    <mergeCell ref="B25:G25"/>
    <mergeCell ref="H25:I25"/>
    <mergeCell ref="B42:K42"/>
    <mergeCell ref="B21:G21"/>
    <mergeCell ref="H21:I21"/>
    <mergeCell ref="B22:G22"/>
    <mergeCell ref="H22:I22"/>
    <mergeCell ref="B23:G23"/>
    <mergeCell ref="H23:I23"/>
    <mergeCell ref="B18:G18"/>
    <mergeCell ref="H18:I18"/>
    <mergeCell ref="B19:G19"/>
    <mergeCell ref="H19:I19"/>
    <mergeCell ref="B20:G20"/>
    <mergeCell ref="H20:I20"/>
    <mergeCell ref="B15:D15"/>
    <mergeCell ref="E15:G15"/>
    <mergeCell ref="H15:I15"/>
    <mergeCell ref="J15:K15"/>
    <mergeCell ref="B17:G17"/>
    <mergeCell ref="H17:I17"/>
    <mergeCell ref="B12:D12"/>
    <mergeCell ref="E12:G12"/>
    <mergeCell ref="H12:K12"/>
    <mergeCell ref="B13:D14"/>
    <mergeCell ref="E13:G14"/>
    <mergeCell ref="H13:I14"/>
    <mergeCell ref="J13:K14"/>
    <mergeCell ref="B8:D9"/>
    <mergeCell ref="E8:G9"/>
    <mergeCell ref="H8:J9"/>
    <mergeCell ref="K8:K9"/>
    <mergeCell ref="B10:D10"/>
    <mergeCell ref="E10:G10"/>
    <mergeCell ref="H10:J10"/>
    <mergeCell ref="B1:K1"/>
    <mergeCell ref="B2:K2"/>
    <mergeCell ref="C4:J4"/>
    <mergeCell ref="C5:J5"/>
    <mergeCell ref="B7:D7"/>
    <mergeCell ref="E7:G7"/>
    <mergeCell ref="H7:J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INPUT</vt:lpstr>
      <vt:lpstr>COMPUTATION</vt:lpstr>
      <vt:lpstr>SUMMARY &amp; INSIGHTS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Rushabh Jamdade</cp:lastModifiedBy>
  <cp:revision>9</cp:revision>
  <dcterms:created xsi:type="dcterms:W3CDTF">2026-04-05T16:26:21Z</dcterms:created>
  <dcterms:modified xsi:type="dcterms:W3CDTF">2026-04-15T08:32:12Z</dcterms:modified>
  <dc:language>en-US</dc:language>
</cp:coreProperties>
</file>