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usha\Downloads\"/>
    </mc:Choice>
  </mc:AlternateContent>
  <xr:revisionPtr revIDLastSave="0" documentId="13_ncr:1_{FE2C5F63-0520-429C-B67C-F443A80F2F55}" xr6:coauthVersionLast="47" xr6:coauthVersionMax="47" xr10:uidLastSave="{00000000-0000-0000-0000-000000000000}"/>
  <bookViews>
    <workbookView xWindow="-120" yWindow="-120" windowWidth="29040" windowHeight="17520" tabRatio="500" firstSheet="1" activeTab="5" xr2:uid="{00000000-000D-0000-FFFF-FFFF00000000}"/>
  </bookViews>
  <sheets>
    <sheet name="How to Use" sheetId="1" r:id="rId1"/>
    <sheet name="Data Input" sheetId="2" r:id="rId2"/>
    <sheet name="Ratio Analysis" sheetId="3" r:id="rId3"/>
    <sheet name="Fraud &amp; Distress Scores" sheetId="4" r:id="rId4"/>
    <sheet name="Health Dashboard" sheetId="5" r:id="rId5"/>
    <sheet name="Common-Size Analysis" sheetId="6" r:id="rId6"/>
  </sheets>
  <definedNames>
    <definedName name="_xlnm.Print_Area" localSheetId="1">'Data Input'!$A$1:$G$100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6" l="1"/>
  <c r="F20" i="6"/>
  <c r="E20" i="6"/>
  <c r="D20" i="6"/>
  <c r="C20" i="6"/>
  <c r="B20" i="6"/>
  <c r="F16" i="6"/>
  <c r="E16" i="6"/>
  <c r="D16" i="6"/>
  <c r="C16" i="6"/>
  <c r="B16" i="6"/>
  <c r="G16" i="6" s="1"/>
  <c r="G15" i="6"/>
  <c r="F15" i="6"/>
  <c r="E15" i="6"/>
  <c r="D15" i="6"/>
  <c r="C15" i="6"/>
  <c r="B15" i="6"/>
  <c r="F14" i="6"/>
  <c r="E14" i="6"/>
  <c r="D14" i="6"/>
  <c r="C14" i="6"/>
  <c r="B14" i="6"/>
  <c r="G14" i="6" s="1"/>
  <c r="G13" i="6"/>
  <c r="F13" i="6"/>
  <c r="E13" i="6"/>
  <c r="D13" i="6"/>
  <c r="C13" i="6"/>
  <c r="B13" i="6"/>
  <c r="F12" i="6"/>
  <c r="E12" i="6"/>
  <c r="D12" i="6"/>
  <c r="C12" i="6"/>
  <c r="B12" i="6"/>
  <c r="G12" i="6" s="1"/>
  <c r="G11" i="6"/>
  <c r="F11" i="6"/>
  <c r="E11" i="6"/>
  <c r="D11" i="6"/>
  <c r="C11" i="6"/>
  <c r="B11" i="6"/>
  <c r="F8" i="6"/>
  <c r="E8" i="6"/>
  <c r="D8" i="6"/>
  <c r="C8" i="6"/>
  <c r="B8" i="6"/>
  <c r="G8" i="6" s="1"/>
  <c r="G7" i="6"/>
  <c r="F7" i="6"/>
  <c r="E7" i="6"/>
  <c r="D7" i="6"/>
  <c r="C7" i="6"/>
  <c r="B7" i="6"/>
  <c r="F28" i="5"/>
  <c r="F23" i="5"/>
  <c r="F20" i="5"/>
  <c r="F41" i="4"/>
  <c r="G41" i="4" s="1"/>
  <c r="E41" i="4"/>
  <c r="D41" i="4"/>
  <c r="C41" i="4"/>
  <c r="F40" i="4"/>
  <c r="G40" i="4" s="1"/>
  <c r="E40" i="4"/>
  <c r="D40" i="4"/>
  <c r="C40" i="4"/>
  <c r="F35" i="4"/>
  <c r="G35" i="4" s="1"/>
  <c r="E35" i="4"/>
  <c r="D35" i="4"/>
  <c r="C35" i="4"/>
  <c r="H25" i="4"/>
  <c r="G25" i="4"/>
  <c r="F25" i="4"/>
  <c r="E25" i="4"/>
  <c r="D25" i="4"/>
  <c r="C25" i="4"/>
  <c r="H12" i="4"/>
  <c r="F12" i="4"/>
  <c r="E12" i="4"/>
  <c r="D12" i="4"/>
  <c r="C12" i="4"/>
  <c r="F11" i="4"/>
  <c r="H11" i="4" s="1"/>
  <c r="E11" i="4"/>
  <c r="D11" i="4"/>
  <c r="C11" i="4"/>
  <c r="H10" i="4"/>
  <c r="F10" i="4"/>
  <c r="E10" i="4"/>
  <c r="D10" i="4"/>
  <c r="C10" i="4"/>
  <c r="F8" i="4"/>
  <c r="H8" i="4" s="1"/>
  <c r="E8" i="4"/>
  <c r="D8" i="4"/>
  <c r="C8" i="4"/>
  <c r="F7" i="4"/>
  <c r="H7" i="4" s="1"/>
  <c r="E7" i="4"/>
  <c r="D7" i="4"/>
  <c r="C7" i="4"/>
  <c r="G60" i="3"/>
  <c r="F60" i="3"/>
  <c r="E60" i="3"/>
  <c r="G59" i="3"/>
  <c r="K56" i="3"/>
  <c r="H56" i="3"/>
  <c r="J56" i="3" s="1"/>
  <c r="G56" i="3"/>
  <c r="F56" i="3"/>
  <c r="E56" i="3"/>
  <c r="D56" i="3"/>
  <c r="H55" i="3"/>
  <c r="G55" i="3"/>
  <c r="F55" i="3"/>
  <c r="E55" i="3"/>
  <c r="D55" i="3"/>
  <c r="K54" i="3"/>
  <c r="J54" i="3"/>
  <c r="H54" i="3"/>
  <c r="G54" i="3"/>
  <c r="F54" i="3"/>
  <c r="E54" i="3"/>
  <c r="D54" i="3"/>
  <c r="I54" i="3" s="1"/>
  <c r="K53" i="3"/>
  <c r="H53" i="3"/>
  <c r="G53" i="3"/>
  <c r="F53" i="3"/>
  <c r="E53" i="3"/>
  <c r="D53" i="3"/>
  <c r="E51" i="3"/>
  <c r="D51" i="3"/>
  <c r="K50" i="3"/>
  <c r="H50" i="3"/>
  <c r="G50" i="3"/>
  <c r="F50" i="3"/>
  <c r="E50" i="3"/>
  <c r="D50" i="3"/>
  <c r="H48" i="3"/>
  <c r="I48" i="3" s="1"/>
  <c r="G48" i="3"/>
  <c r="F48" i="3"/>
  <c r="E48" i="3"/>
  <c r="D48" i="3"/>
  <c r="K46" i="3"/>
  <c r="G30" i="5" s="1"/>
  <c r="H46" i="3"/>
  <c r="G46" i="3"/>
  <c r="F30" i="5" s="1"/>
  <c r="F46" i="3"/>
  <c r="E46" i="3"/>
  <c r="D46" i="3"/>
  <c r="H45" i="3"/>
  <c r="G45" i="3"/>
  <c r="F45" i="3"/>
  <c r="E45" i="3"/>
  <c r="D45" i="3"/>
  <c r="K44" i="3"/>
  <c r="G28" i="5" s="1"/>
  <c r="J44" i="3"/>
  <c r="C28" i="5" s="1"/>
  <c r="I44" i="3"/>
  <c r="E28" i="5" s="1"/>
  <c r="H44" i="3"/>
  <c r="B28" i="5" s="1"/>
  <c r="D28" i="5" s="1"/>
  <c r="G44" i="3"/>
  <c r="F44" i="3"/>
  <c r="E44" i="3"/>
  <c r="D44" i="3"/>
  <c r="K40" i="3"/>
  <c r="J40" i="3"/>
  <c r="H40" i="3"/>
  <c r="G40" i="3"/>
  <c r="F40" i="3"/>
  <c r="E40" i="3"/>
  <c r="D40" i="3"/>
  <c r="I40" i="3" s="1"/>
  <c r="G39" i="3"/>
  <c r="F26" i="5" s="1"/>
  <c r="K37" i="3"/>
  <c r="J37" i="3"/>
  <c r="I37" i="3"/>
  <c r="H37" i="3"/>
  <c r="G37" i="3"/>
  <c r="F37" i="3"/>
  <c r="E37" i="3"/>
  <c r="D37" i="3"/>
  <c r="K36" i="3"/>
  <c r="H36" i="3"/>
  <c r="J36" i="3" s="1"/>
  <c r="G36" i="3"/>
  <c r="F36" i="3"/>
  <c r="E36" i="3"/>
  <c r="D36" i="3"/>
  <c r="H35" i="3"/>
  <c r="I35" i="3" s="1"/>
  <c r="E23" i="5" s="1"/>
  <c r="G35" i="3"/>
  <c r="F35" i="3"/>
  <c r="E35" i="3"/>
  <c r="D35" i="3"/>
  <c r="D38" i="3" s="1"/>
  <c r="K34" i="3"/>
  <c r="J34" i="3"/>
  <c r="H34" i="3"/>
  <c r="G34" i="3"/>
  <c r="F34" i="3"/>
  <c r="E34" i="3"/>
  <c r="D34" i="3"/>
  <c r="I34" i="3" s="1"/>
  <c r="K33" i="3"/>
  <c r="G24" i="5" s="1"/>
  <c r="H33" i="3"/>
  <c r="G33" i="3"/>
  <c r="F24" i="5" s="1"/>
  <c r="F33" i="3"/>
  <c r="F38" i="3" s="1"/>
  <c r="E33" i="3"/>
  <c r="E38" i="3" s="1"/>
  <c r="D33" i="3"/>
  <c r="I32" i="3"/>
  <c r="H32" i="3"/>
  <c r="G32" i="3"/>
  <c r="F32" i="3"/>
  <c r="E32" i="3"/>
  <c r="D32" i="3"/>
  <c r="K29" i="3"/>
  <c r="H29" i="3"/>
  <c r="G29" i="3"/>
  <c r="F29" i="3"/>
  <c r="E29" i="3"/>
  <c r="D29" i="3"/>
  <c r="D28" i="3"/>
  <c r="K27" i="3"/>
  <c r="G20" i="5" s="1"/>
  <c r="J27" i="3"/>
  <c r="C20" i="5" s="1"/>
  <c r="I27" i="3"/>
  <c r="E20" i="5" s="1"/>
  <c r="H27" i="3"/>
  <c r="B20" i="5" s="1"/>
  <c r="D20" i="5" s="1"/>
  <c r="G27" i="3"/>
  <c r="F27" i="3"/>
  <c r="E27" i="3"/>
  <c r="D27" i="3"/>
  <c r="K26" i="3"/>
  <c r="G19" i="5" s="1"/>
  <c r="H26" i="3"/>
  <c r="G26" i="3"/>
  <c r="F19" i="5" s="1"/>
  <c r="F26" i="3"/>
  <c r="E26" i="3"/>
  <c r="D26" i="3"/>
  <c r="G23" i="3"/>
  <c r="F18" i="5" s="1"/>
  <c r="F23" i="3"/>
  <c r="E23" i="3"/>
  <c r="G21" i="3"/>
  <c r="G18" i="3"/>
  <c r="F15" i="5" s="1"/>
  <c r="D18" i="3"/>
  <c r="K16" i="3"/>
  <c r="H16" i="3"/>
  <c r="G16" i="3"/>
  <c r="F16" i="3"/>
  <c r="E16" i="3"/>
  <c r="D16" i="3"/>
  <c r="H13" i="3"/>
  <c r="G13" i="3"/>
  <c r="F12" i="5" s="1"/>
  <c r="F13" i="3"/>
  <c r="E13" i="3"/>
  <c r="D13" i="3"/>
  <c r="H11" i="3"/>
  <c r="G11" i="3"/>
  <c r="E10" i="3"/>
  <c r="D10" i="3"/>
  <c r="E9" i="3"/>
  <c r="F88" i="2"/>
  <c r="E88" i="2"/>
  <c r="D88" i="2"/>
  <c r="C88" i="2"/>
  <c r="B88" i="2"/>
  <c r="F85" i="2"/>
  <c r="E85" i="2"/>
  <c r="D85" i="2"/>
  <c r="C85" i="2"/>
  <c r="B85" i="2"/>
  <c r="E66" i="2"/>
  <c r="E68" i="2" s="1"/>
  <c r="D66" i="2"/>
  <c r="D68" i="2" s="1"/>
  <c r="F64" i="2"/>
  <c r="F17" i="6" s="1"/>
  <c r="E64" i="2"/>
  <c r="E17" i="6" s="1"/>
  <c r="D64" i="2"/>
  <c r="C64" i="2"/>
  <c r="B64" i="2"/>
  <c r="B17" i="6" s="1"/>
  <c r="F56" i="2"/>
  <c r="F9" i="6" s="1"/>
  <c r="E56" i="2"/>
  <c r="E9" i="6" s="1"/>
  <c r="D56" i="2"/>
  <c r="D9" i="6" s="1"/>
  <c r="C56" i="2"/>
  <c r="C66" i="2" s="1"/>
  <c r="C68" i="2" s="1"/>
  <c r="B56" i="2"/>
  <c r="B66" i="2" s="1"/>
  <c r="B68" i="2" s="1"/>
  <c r="C49" i="2"/>
  <c r="B49" i="2"/>
  <c r="F47" i="2"/>
  <c r="H23" i="3" s="1"/>
  <c r="E47" i="2"/>
  <c r="G25" i="3" s="1"/>
  <c r="D47" i="2"/>
  <c r="F28" i="3" s="1"/>
  <c r="C47" i="2"/>
  <c r="E28" i="3" s="1"/>
  <c r="B47" i="2"/>
  <c r="D60" i="3" s="1"/>
  <c r="F42" i="2"/>
  <c r="E42" i="2"/>
  <c r="E43" i="6" s="1"/>
  <c r="D42" i="2"/>
  <c r="C42" i="2"/>
  <c r="B42" i="2"/>
  <c r="F37" i="2"/>
  <c r="E37" i="2"/>
  <c r="E39" i="4" s="1"/>
  <c r="D37" i="2"/>
  <c r="F43" i="3" s="1"/>
  <c r="C37" i="2"/>
  <c r="C39" i="4" s="1"/>
  <c r="B37" i="2"/>
  <c r="D43" i="3" s="1"/>
  <c r="E29" i="2"/>
  <c r="D29" i="2"/>
  <c r="C29" i="2"/>
  <c r="C13" i="4" s="1"/>
  <c r="B29" i="2"/>
  <c r="B32" i="6" s="1"/>
  <c r="F27" i="2"/>
  <c r="E27" i="2"/>
  <c r="E35" i="6" s="1"/>
  <c r="D27" i="2"/>
  <c r="C27" i="2"/>
  <c r="B27" i="2"/>
  <c r="F19" i="2"/>
  <c r="H8" i="3" s="1"/>
  <c r="E19" i="2"/>
  <c r="E29" i="6" s="1"/>
  <c r="D19" i="2"/>
  <c r="C19" i="2"/>
  <c r="B19" i="2"/>
  <c r="D41" i="3" s="1"/>
  <c r="J23" i="3" l="1"/>
  <c r="C18" i="5" s="1"/>
  <c r="I23" i="3"/>
  <c r="E18" i="5" s="1"/>
  <c r="B18" i="5"/>
  <c r="D18" i="5" s="1"/>
  <c r="K23" i="3"/>
  <c r="G18" i="5" s="1"/>
  <c r="F62" i="3"/>
  <c r="F52" i="3"/>
  <c r="F15" i="3"/>
  <c r="D19" i="6"/>
  <c r="E24" i="4"/>
  <c r="F30" i="3"/>
  <c r="F20" i="3"/>
  <c r="F14" i="3"/>
  <c r="F63" i="3"/>
  <c r="D70" i="2"/>
  <c r="E62" i="3"/>
  <c r="E52" i="3"/>
  <c r="E15" i="3"/>
  <c r="C19" i="6"/>
  <c r="C70" i="2"/>
  <c r="E63" i="3"/>
  <c r="E30" i="3"/>
  <c r="E20" i="3"/>
  <c r="D24" i="4"/>
  <c r="E14" i="3"/>
  <c r="B8" i="5"/>
  <c r="D8" i="5" s="1"/>
  <c r="K8" i="3"/>
  <c r="G8" i="5" s="1"/>
  <c r="E19" i="6"/>
  <c r="F24" i="4"/>
  <c r="G30" i="3"/>
  <c r="F21" i="5" s="1"/>
  <c r="G20" i="3"/>
  <c r="F16" i="5" s="1"/>
  <c r="G14" i="3"/>
  <c r="G15" i="3"/>
  <c r="F13" i="5" s="1"/>
  <c r="G62" i="3"/>
  <c r="E70" i="2"/>
  <c r="G52" i="3"/>
  <c r="G63" i="3"/>
  <c r="D52" i="3"/>
  <c r="D62" i="3"/>
  <c r="D63" i="3"/>
  <c r="B70" i="2"/>
  <c r="D20" i="3"/>
  <c r="D30" i="3"/>
  <c r="D15" i="3"/>
  <c r="C24" i="4"/>
  <c r="B19" i="6"/>
  <c r="D14" i="3"/>
  <c r="B25" i="6"/>
  <c r="F43" i="6"/>
  <c r="G43" i="3"/>
  <c r="C22" i="4"/>
  <c r="C28" i="4" s="1"/>
  <c r="C29" i="4" s="1"/>
  <c r="J50" i="3"/>
  <c r="D22" i="4"/>
  <c r="D28" i="4" s="1"/>
  <c r="D29" i="4" s="1"/>
  <c r="B33" i="6"/>
  <c r="C9" i="4"/>
  <c r="D25" i="3"/>
  <c r="K45" i="3"/>
  <c r="J45" i="3"/>
  <c r="D39" i="4"/>
  <c r="C38" i="4"/>
  <c r="B39" i="6"/>
  <c r="J13" i="3"/>
  <c r="C12" i="5" s="1"/>
  <c r="B12" i="5"/>
  <c r="D12" i="5" s="1"/>
  <c r="I13" i="3"/>
  <c r="E12" i="5" s="1"/>
  <c r="H18" i="3"/>
  <c r="D21" i="3"/>
  <c r="F59" i="3"/>
  <c r="F21" i="3"/>
  <c r="D42" i="4"/>
  <c r="E23" i="4"/>
  <c r="E13" i="4"/>
  <c r="D45" i="6"/>
  <c r="D42" i="6"/>
  <c r="D39" i="6"/>
  <c r="D37" i="6"/>
  <c r="D34" i="6"/>
  <c r="D32" i="6"/>
  <c r="D27" i="6"/>
  <c r="D25" i="6"/>
  <c r="D46" i="6"/>
  <c r="D38" i="6"/>
  <c r="D33" i="6"/>
  <c r="D31" i="6"/>
  <c r="D28" i="6"/>
  <c r="D26" i="6"/>
  <c r="D24" i="6"/>
  <c r="E26" i="4"/>
  <c r="F24" i="3"/>
  <c r="K13" i="3"/>
  <c r="G12" i="5" s="1"/>
  <c r="B26" i="6"/>
  <c r="B40" i="6"/>
  <c r="E42" i="4"/>
  <c r="D8" i="3"/>
  <c r="I8" i="3" s="1"/>
  <c r="E8" i="5" s="1"/>
  <c r="F41" i="3"/>
  <c r="G8" i="3"/>
  <c r="F8" i="5" s="1"/>
  <c r="J16" i="3"/>
  <c r="I16" i="3"/>
  <c r="K32" i="3"/>
  <c r="J32" i="3"/>
  <c r="I45" i="3"/>
  <c r="J53" i="3"/>
  <c r="C23" i="4"/>
  <c r="C26" i="4"/>
  <c r="B27" i="6"/>
  <c r="B34" i="6"/>
  <c r="B42" i="6"/>
  <c r="B23" i="5"/>
  <c r="D23" i="5" s="1"/>
  <c r="K35" i="3"/>
  <c r="G23" i="5" s="1"/>
  <c r="J35" i="3"/>
  <c r="C23" i="5" s="1"/>
  <c r="F9" i="4"/>
  <c r="E59" i="3"/>
  <c r="E21" i="3"/>
  <c r="C42" i="4"/>
  <c r="C47" i="6"/>
  <c r="C45" i="6"/>
  <c r="C42" i="6"/>
  <c r="C39" i="6"/>
  <c r="C37" i="6"/>
  <c r="C34" i="6"/>
  <c r="C32" i="6"/>
  <c r="C29" i="6"/>
  <c r="C27" i="6"/>
  <c r="C25" i="6"/>
  <c r="C46" i="6"/>
  <c r="C43" i="6"/>
  <c r="C38" i="6"/>
  <c r="C33" i="6"/>
  <c r="C31" i="6"/>
  <c r="C28" i="6"/>
  <c r="C26" i="6"/>
  <c r="C24" i="6"/>
  <c r="D38" i="4"/>
  <c r="C40" i="6"/>
  <c r="E47" i="6"/>
  <c r="G51" i="3"/>
  <c r="D11" i="3"/>
  <c r="I11" i="3" s="1"/>
  <c r="J29" i="3"/>
  <c r="I29" i="3"/>
  <c r="G38" i="3"/>
  <c r="F25" i="5" s="1"/>
  <c r="D13" i="4"/>
  <c r="D23" i="4"/>
  <c r="D26" i="4"/>
  <c r="D59" i="3"/>
  <c r="D39" i="3"/>
  <c r="F29" i="6"/>
  <c r="F39" i="4"/>
  <c r="G39" i="4" s="1"/>
  <c r="G22" i="4"/>
  <c r="H10" i="3"/>
  <c r="H7" i="3"/>
  <c r="F29" i="2"/>
  <c r="H38" i="3"/>
  <c r="K55" i="3"/>
  <c r="J55" i="3"/>
  <c r="B43" i="6"/>
  <c r="E49" i="2"/>
  <c r="E40" i="6"/>
  <c r="I55" i="3"/>
  <c r="B9" i="6"/>
  <c r="C35" i="6"/>
  <c r="H43" i="3"/>
  <c r="B37" i="6"/>
  <c r="D35" i="6"/>
  <c r="F39" i="3"/>
  <c r="H41" i="3"/>
  <c r="J46" i="3"/>
  <c r="C30" i="5" s="1"/>
  <c r="D49" i="2"/>
  <c r="D51" i="2" s="1"/>
  <c r="D40" i="6"/>
  <c r="E11" i="3"/>
  <c r="C17" i="6"/>
  <c r="G17" i="6" s="1"/>
  <c r="B35" i="6"/>
  <c r="F11" i="3"/>
  <c r="D17" i="6"/>
  <c r="K11" i="3"/>
  <c r="J11" i="3"/>
  <c r="E39" i="3"/>
  <c r="G41" i="3"/>
  <c r="C9" i="6"/>
  <c r="B29" i="6"/>
  <c r="B45" i="6"/>
  <c r="F49" i="2"/>
  <c r="G9" i="3"/>
  <c r="F9" i="5" s="1"/>
  <c r="D24" i="3"/>
  <c r="G28" i="3"/>
  <c r="J33" i="3"/>
  <c r="C24" i="5" s="1"/>
  <c r="D9" i="4"/>
  <c r="B24" i="6"/>
  <c r="B31" i="6"/>
  <c r="B38" i="6"/>
  <c r="B46" i="6"/>
  <c r="F47" i="6"/>
  <c r="H60" i="3"/>
  <c r="H51" i="3"/>
  <c r="B28" i="6"/>
  <c r="F9" i="3"/>
  <c r="K48" i="3"/>
  <c r="J48" i="3"/>
  <c r="B51" i="2"/>
  <c r="D7" i="3"/>
  <c r="H9" i="3"/>
  <c r="F35" i="6"/>
  <c r="D43" i="6"/>
  <c r="C51" i="2"/>
  <c r="E7" i="3"/>
  <c r="E24" i="3"/>
  <c r="J26" i="3"/>
  <c r="C19" i="5" s="1"/>
  <c r="B19" i="5"/>
  <c r="D19" i="5" s="1"/>
  <c r="I26" i="3"/>
  <c r="E19" i="5" s="1"/>
  <c r="H28" i="3"/>
  <c r="E43" i="3"/>
  <c r="E9" i="4"/>
  <c r="B47" i="6"/>
  <c r="F7" i="3"/>
  <c r="F10" i="3"/>
  <c r="F51" i="3"/>
  <c r="E22" i="4"/>
  <c r="E38" i="4"/>
  <c r="G7" i="3"/>
  <c r="F7" i="5" s="1"/>
  <c r="G10" i="3"/>
  <c r="F10" i="5" s="1"/>
  <c r="G24" i="3"/>
  <c r="F22" i="4"/>
  <c r="F26" i="4"/>
  <c r="B30" i="5"/>
  <c r="D30" i="5" s="1"/>
  <c r="E24" i="6"/>
  <c r="E26" i="6"/>
  <c r="E28" i="6"/>
  <c r="E31" i="6"/>
  <c r="E33" i="6"/>
  <c r="E38" i="6"/>
  <c r="E46" i="6"/>
  <c r="E51" i="2"/>
  <c r="G64" i="2"/>
  <c r="D9" i="3"/>
  <c r="D23" i="3"/>
  <c r="D29" i="6"/>
  <c r="D47" i="6"/>
  <c r="F66" i="2"/>
  <c r="F68" i="2" s="1"/>
  <c r="E8" i="3"/>
  <c r="E18" i="3"/>
  <c r="E25" i="3"/>
  <c r="I33" i="3"/>
  <c r="E24" i="5" s="1"/>
  <c r="I36" i="3"/>
  <c r="E41" i="3"/>
  <c r="I46" i="3"/>
  <c r="E30" i="5" s="1"/>
  <c r="I50" i="3"/>
  <c r="I53" i="3"/>
  <c r="I56" i="3"/>
  <c r="F23" i="4"/>
  <c r="B24" i="5"/>
  <c r="D24" i="5" s="1"/>
  <c r="E25" i="6"/>
  <c r="E27" i="6"/>
  <c r="E32" i="6"/>
  <c r="E34" i="6"/>
  <c r="E37" i="6"/>
  <c r="E39" i="6"/>
  <c r="E42" i="6"/>
  <c r="E45" i="6"/>
  <c r="G56" i="2"/>
  <c r="F8" i="3"/>
  <c r="F18" i="3"/>
  <c r="F25" i="3"/>
  <c r="G35" i="6" l="1"/>
  <c r="G9" i="6"/>
  <c r="H22" i="4"/>
  <c r="G28" i="6"/>
  <c r="J51" i="3"/>
  <c r="K51" i="3"/>
  <c r="I51" i="3"/>
  <c r="B73" i="2"/>
  <c r="D19" i="3"/>
  <c r="D47" i="3"/>
  <c r="D17" i="3"/>
  <c r="B21" i="6"/>
  <c r="D58" i="3"/>
  <c r="D61" i="3" s="1"/>
  <c r="C73" i="2"/>
  <c r="C21" i="6"/>
  <c r="C34" i="4"/>
  <c r="C36" i="4"/>
  <c r="C14" i="4"/>
  <c r="C16" i="4" s="1"/>
  <c r="C17" i="4" s="1"/>
  <c r="C37" i="4"/>
  <c r="E17" i="3"/>
  <c r="E47" i="3"/>
  <c r="E19" i="3"/>
  <c r="E58" i="3"/>
  <c r="E61" i="3" s="1"/>
  <c r="G29" i="6"/>
  <c r="H9" i="4"/>
  <c r="E28" i="4"/>
  <c r="E29" i="4" s="1"/>
  <c r="J60" i="3"/>
  <c r="I60" i="3"/>
  <c r="K60" i="3"/>
  <c r="G43" i="6"/>
  <c r="J8" i="3"/>
  <c r="C8" i="5" s="1"/>
  <c r="D21" i="6"/>
  <c r="D37" i="4"/>
  <c r="D36" i="4"/>
  <c r="F58" i="3"/>
  <c r="F61" i="3" s="1"/>
  <c r="F47" i="3"/>
  <c r="F17" i="3"/>
  <c r="D73" i="2"/>
  <c r="D14" i="4"/>
  <c r="D16" i="4" s="1"/>
  <c r="D17" i="4" s="1"/>
  <c r="D34" i="4"/>
  <c r="D44" i="4" s="1"/>
  <c r="D45" i="4" s="1"/>
  <c r="F19" i="3"/>
  <c r="B25" i="5"/>
  <c r="D25" i="5" s="1"/>
  <c r="K38" i="3"/>
  <c r="G25" i="5" s="1"/>
  <c r="J38" i="3"/>
  <c r="C25" i="5" s="1"/>
  <c r="I38" i="3"/>
  <c r="E25" i="5" s="1"/>
  <c r="G27" i="6"/>
  <c r="F45" i="6"/>
  <c r="G45" i="6" s="1"/>
  <c r="F42" i="6"/>
  <c r="F39" i="6"/>
  <c r="G39" i="6" s="1"/>
  <c r="F37" i="6"/>
  <c r="G37" i="6" s="1"/>
  <c r="F34" i="6"/>
  <c r="G34" i="6" s="1"/>
  <c r="F32" i="6"/>
  <c r="G32" i="6" s="1"/>
  <c r="F27" i="6"/>
  <c r="F25" i="6"/>
  <c r="G23" i="4"/>
  <c r="H23" i="4" s="1"/>
  <c r="F13" i="4"/>
  <c r="H13" i="4" s="1"/>
  <c r="H39" i="3"/>
  <c r="F46" i="6"/>
  <c r="G46" i="6" s="1"/>
  <c r="F38" i="6"/>
  <c r="G38" i="6" s="1"/>
  <c r="F33" i="6"/>
  <c r="F31" i="6"/>
  <c r="F28" i="6"/>
  <c r="F26" i="6"/>
  <c r="G26" i="6" s="1"/>
  <c r="F24" i="6"/>
  <c r="G24" i="6" s="1"/>
  <c r="G26" i="4"/>
  <c r="H26" i="4" s="1"/>
  <c r="H24" i="3"/>
  <c r="F51" i="2"/>
  <c r="F38" i="4"/>
  <c r="G38" i="4" s="1"/>
  <c r="H59" i="3"/>
  <c r="H21" i="3"/>
  <c r="F42" i="4"/>
  <c r="G42" i="4" s="1"/>
  <c r="B15" i="5"/>
  <c r="D15" i="5" s="1"/>
  <c r="K18" i="3"/>
  <c r="G15" i="5" s="1"/>
  <c r="J18" i="3"/>
  <c r="C15" i="5" s="1"/>
  <c r="I18" i="3"/>
  <c r="E15" i="5" s="1"/>
  <c r="F19" i="6"/>
  <c r="G19" i="6" s="1"/>
  <c r="H63" i="3"/>
  <c r="G24" i="4"/>
  <c r="H24" i="4" s="1"/>
  <c r="H30" i="3"/>
  <c r="H20" i="3"/>
  <c r="H14" i="3"/>
  <c r="H62" i="3"/>
  <c r="H52" i="3"/>
  <c r="H15" i="3"/>
  <c r="F70" i="2"/>
  <c r="K41" i="3"/>
  <c r="J41" i="3"/>
  <c r="I41" i="3"/>
  <c r="G25" i="6"/>
  <c r="G31" i="6"/>
  <c r="F28" i="4"/>
  <c r="F29" i="4" s="1"/>
  <c r="K28" i="3"/>
  <c r="J28" i="3"/>
  <c r="I28" i="3"/>
  <c r="F40" i="6"/>
  <c r="G40" i="6" s="1"/>
  <c r="B7" i="5"/>
  <c r="D7" i="5" s="1"/>
  <c r="I7" i="3"/>
  <c r="E7" i="5" s="1"/>
  <c r="K7" i="3"/>
  <c r="G7" i="5" s="1"/>
  <c r="J7" i="3"/>
  <c r="C7" i="5" s="1"/>
  <c r="G42" i="6"/>
  <c r="G47" i="6"/>
  <c r="J9" i="3"/>
  <c r="C9" i="5" s="1"/>
  <c r="B9" i="5"/>
  <c r="D9" i="5" s="1"/>
  <c r="I9" i="3"/>
  <c r="E9" i="5" s="1"/>
  <c r="K9" i="3"/>
  <c r="G9" i="5" s="1"/>
  <c r="E21" i="6"/>
  <c r="E37" i="4"/>
  <c r="E36" i="4"/>
  <c r="G58" i="3"/>
  <c r="G61" i="3" s="1"/>
  <c r="G47" i="3"/>
  <c r="F29" i="5" s="1"/>
  <c r="G17" i="3"/>
  <c r="F14" i="5" s="1"/>
  <c r="E73" i="2"/>
  <c r="E14" i="4"/>
  <c r="E16" i="4" s="1"/>
  <c r="E17" i="4" s="1"/>
  <c r="G19" i="3"/>
  <c r="E34" i="4"/>
  <c r="J43" i="3"/>
  <c r="I43" i="3"/>
  <c r="K43" i="3"/>
  <c r="B10" i="5"/>
  <c r="D10" i="5" s="1"/>
  <c r="K10" i="3"/>
  <c r="G10" i="5" s="1"/>
  <c r="J10" i="3"/>
  <c r="C10" i="5" s="1"/>
  <c r="I10" i="3"/>
  <c r="E10" i="5" s="1"/>
  <c r="H25" i="3"/>
  <c r="G33" i="6"/>
  <c r="F21" i="6" l="1"/>
  <c r="F37" i="4"/>
  <c r="G37" i="4" s="1"/>
  <c r="H58" i="3"/>
  <c r="H47" i="3"/>
  <c r="H17" i="3"/>
  <c r="F14" i="4"/>
  <c r="F73" i="2"/>
  <c r="H19" i="3"/>
  <c r="F36" i="4"/>
  <c r="G36" i="4" s="1"/>
  <c r="G70" i="2"/>
  <c r="F34" i="4"/>
  <c r="B13" i="5"/>
  <c r="D13" i="5" s="1"/>
  <c r="K15" i="3"/>
  <c r="G13" i="5" s="1"/>
  <c r="J15" i="3"/>
  <c r="C13" i="5" s="1"/>
  <c r="I15" i="3"/>
  <c r="E13" i="5" s="1"/>
  <c r="K52" i="3"/>
  <c r="J52" i="3"/>
  <c r="I52" i="3"/>
  <c r="K62" i="3"/>
  <c r="J62" i="3"/>
  <c r="I62" i="3"/>
  <c r="J14" i="3"/>
  <c r="K14" i="3"/>
  <c r="I14" i="3"/>
  <c r="E44" i="4"/>
  <c r="E45" i="4" s="1"/>
  <c r="B16" i="5"/>
  <c r="D16" i="5" s="1"/>
  <c r="J20" i="3"/>
  <c r="C16" i="5" s="1"/>
  <c r="I20" i="3"/>
  <c r="E16" i="5" s="1"/>
  <c r="K20" i="3"/>
  <c r="G16" i="5" s="1"/>
  <c r="K21" i="3"/>
  <c r="J21" i="3"/>
  <c r="I21" i="3"/>
  <c r="C44" i="4"/>
  <c r="C45" i="4" s="1"/>
  <c r="K59" i="3"/>
  <c r="J59" i="3"/>
  <c r="I59" i="3"/>
  <c r="J39" i="3"/>
  <c r="C26" i="5" s="1"/>
  <c r="B26" i="5"/>
  <c r="D26" i="5" s="1"/>
  <c r="I39" i="3"/>
  <c r="E26" i="5" s="1"/>
  <c r="K39" i="3"/>
  <c r="G26" i="5" s="1"/>
  <c r="G28" i="4"/>
  <c r="J24" i="3"/>
  <c r="I24" i="3"/>
  <c r="K24" i="3"/>
  <c r="G21" i="6"/>
  <c r="B21" i="5"/>
  <c r="D21" i="5" s="1"/>
  <c r="K30" i="3"/>
  <c r="G21" i="5" s="1"/>
  <c r="J30" i="3"/>
  <c r="C21" i="5" s="1"/>
  <c r="I30" i="3"/>
  <c r="E21" i="5" s="1"/>
  <c r="K25" i="3"/>
  <c r="J25" i="3"/>
  <c r="I25" i="3"/>
  <c r="J63" i="3"/>
  <c r="I63" i="3"/>
  <c r="K63" i="3"/>
  <c r="G34" i="4" l="1"/>
  <c r="F44" i="4"/>
  <c r="J19" i="3"/>
  <c r="I19" i="3"/>
  <c r="K19" i="3"/>
  <c r="D34" i="5"/>
  <c r="G29" i="4"/>
  <c r="G34" i="5"/>
  <c r="B34" i="5"/>
  <c r="B14" i="5"/>
  <c r="D14" i="5" s="1"/>
  <c r="K17" i="3"/>
  <c r="G14" i="5" s="1"/>
  <c r="J17" i="3"/>
  <c r="C14" i="5" s="1"/>
  <c r="I17" i="3"/>
  <c r="E14" i="5" s="1"/>
  <c r="B29" i="5"/>
  <c r="D29" i="5" s="1"/>
  <c r="J47" i="3"/>
  <c r="C29" i="5" s="1"/>
  <c r="K47" i="3"/>
  <c r="G29" i="5" s="1"/>
  <c r="I47" i="3"/>
  <c r="E29" i="5" s="1"/>
  <c r="H14" i="4"/>
  <c r="F16" i="4"/>
  <c r="H61" i="3"/>
  <c r="K58" i="3"/>
  <c r="J58" i="3"/>
  <c r="I58" i="3"/>
  <c r="K61" i="3" l="1"/>
  <c r="J61" i="3"/>
  <c r="I61" i="3"/>
  <c r="D33" i="5"/>
  <c r="B33" i="5"/>
  <c r="F17" i="4"/>
  <c r="G33" i="5"/>
  <c r="F45" i="4"/>
  <c r="D35" i="5"/>
  <c r="B35" i="5"/>
  <c r="G35" i="5"/>
</calcChain>
</file>

<file path=xl/sharedStrings.xml><?xml version="1.0" encoding="utf-8"?>
<sst xmlns="http://schemas.openxmlformats.org/spreadsheetml/2006/main" count="464" uniqueCount="409">
  <si>
    <t>HOW TO USE THIS TOOLKIT</t>
  </si>
  <si>
    <t>📌 STEP 1: Enter Financial Data</t>
  </si>
  <si>
    <t xml:space="preserve">   Go to 'Data Input' sheet.</t>
  </si>
  <si>
    <t xml:space="preserve">   Select your unit (Rs. Thousands / Lakhs / Crores) from the dropdown.</t>
  </si>
  <si>
    <t xml:space="preserve">   Enter data in the blue-highlighted cells. All other cells auto-calculate.</t>
  </si>
  <si>
    <t xml:space="preserve">   Fill 2-5 years of data. Notes column explains what goes in each line item.</t>
  </si>
  <si>
    <t xml:space="preserve">   Select your industry from the dropdown for benchmark context.</t>
  </si>
  <si>
    <t>📌 STEP 2: Review Ratio Analysis (51 ratios)</t>
  </si>
  <si>
    <t xml:space="preserve">   Everything auto-calculates. Each ratio has:</t>
  </si>
  <si>
    <t xml:space="preserve">   • 5-year values with trend arrows</t>
  </si>
  <si>
    <t xml:space="preserve">   • Year-on-year percentage change</t>
  </si>
  <si>
    <t xml:space="preserve">   • Smart diagnostic that reads your actual numbers and tells you what they mean</t>
  </si>
  <si>
    <t>📌 STEP 3: Check Fraud &amp; Distress Scores</t>
  </si>
  <si>
    <t xml:space="preserve">   Beneish M-Score: Flags probable earnings manipulation (needs 2+ years).</t>
  </si>
  <si>
    <t xml:space="preserve">   Altman Z-Score: Predicts bankruptcy probability.</t>
  </si>
  <si>
    <t xml:space="preserve">   Piotroski F-Score: Financial strength 0-9 (value investing tool).</t>
  </si>
  <si>
    <t xml:space="preserve">   Each component is individually interpreted.</t>
  </si>
  <si>
    <t>📌 STEP 4: Executive Health Dashboard</t>
  </si>
  <si>
    <t xml:space="preserve">   One-page summary with traffic-light signals. Ready for board packs.</t>
  </si>
  <si>
    <t>📌 STEP 5: Common-Size Analysis</t>
  </si>
  <si>
    <t xml:space="preserve">   P&amp;L as % of Revenue. BS as % of Total Assets. With 5-year averages.</t>
  </si>
  <si>
    <t>⚠️ IMPORTANT NOTES</t>
  </si>
  <si>
    <t xml:space="preserve">   • '-' means input data is missing or calculation would error.</t>
  </si>
  <si>
    <t xml:space="preserve">   • 'Neg Eq', 'No Debt', 'Cash Biz' are intelligent flags, not errors.</t>
  </si>
  <si>
    <t xml:space="preserve">   • Benchmarks are general — always compare within the same industry.</t>
  </si>
  <si>
    <t xml:space="preserve">   • Market data only needed for valuation ratios (P/E, P/B, EV/EBITDA).</t>
  </si>
  <si>
    <t xml:space="preserve">   • Balance Sheet check row verifies Assets = Liabilities + Equity.</t>
  </si>
  <si>
    <t>🔒 SHEET PROTECTION</t>
  </si>
  <si>
    <t xml:space="preserve">   Analysis sheets are locked to prevent accidental formula edits.</t>
  </si>
  <si>
    <t xml:space="preserve">   Data Input sheet is fully open.</t>
  </si>
  <si>
    <t xml:space="preserve">   To unlock: Review → Unprotect Sheet → Password: finlens2025</t>
  </si>
  <si>
    <t>⚠️ DISCLAIMER</t>
  </si>
  <si>
    <t xml:space="preserve">   This tool is for reference and educational purposes only.</t>
  </si>
  <si>
    <t xml:space="preserve">   Do not use directly for any professional, legal, or financial decision</t>
  </si>
  <si>
    <t xml:space="preserve">   without independent verification by a qualified professional.</t>
  </si>
  <si>
    <t xml:space="preserve">   No liability accepted for decisions made based on this tool.</t>
  </si>
  <si>
    <t xml:space="preserve">   Created by CA Rushabh Jamdade</t>
  </si>
  <si>
    <t>FINANCIAL RATIO ANALYSIS TOOLKIT</t>
  </si>
  <si>
    <t>Enter data in BLUE cells only | Amounts in unit selected above | CA Rushabh Jamdade</t>
  </si>
  <si>
    <t>COMPANY INFORMATION &amp; SETTINGS</t>
  </si>
  <si>
    <t>Company Name:</t>
  </si>
  <si>
    <t>Industry:</t>
  </si>
  <si>
    <t>Financial Year:</t>
  </si>
  <si>
    <t>Analysis Date:</t>
  </si>
  <si>
    <t>Prepared By:</t>
  </si>
  <si>
    <t>Reviewer:</t>
  </si>
  <si>
    <t>Select Industry (for benchmarks):</t>
  </si>
  <si>
    <t>Manufacturing</t>
  </si>
  <si>
    <t>⚙ Industry selection adjusts benchmarks on Dashboard</t>
  </si>
  <si>
    <t>Select Unit:</t>
  </si>
  <si>
    <t>Rs. Lakhs</t>
  </si>
  <si>
    <t>⚙ Enter all amounts consistently in selected unit</t>
  </si>
  <si>
    <t>Particulars (Rs.)</t>
  </si>
  <si>
    <t>Year 1 (Oldest)</t>
  </si>
  <si>
    <t>Year 2</t>
  </si>
  <si>
    <t>Year 3</t>
  </si>
  <si>
    <t>Year 4</t>
  </si>
  <si>
    <t>Year 5 (Latest)</t>
  </si>
  <si>
    <t>Notes</t>
  </si>
  <si>
    <t>BALANCE SHEET — ASSETS</t>
  </si>
  <si>
    <t>Cash &amp; Cash Equivalents</t>
  </si>
  <si>
    <t>Include bank balances, FDs &lt; 3 months</t>
  </si>
  <si>
    <t>Short-term Investments</t>
  </si>
  <si>
    <t>Mutual funds, commercial paper, T-bills</t>
  </si>
  <si>
    <t>Trade Receivables (Net of provisions)</t>
  </si>
  <si>
    <t>After deducting provision for doubtful debts</t>
  </si>
  <si>
    <t>Inventories</t>
  </si>
  <si>
    <t>Raw material + WIP + Finished goods</t>
  </si>
  <si>
    <t>Other Current Assets</t>
  </si>
  <si>
    <t>Prepaid expenses, advances, GST input credit</t>
  </si>
  <si>
    <t>TOTAL CURRENT ASSETS</t>
  </si>
  <si>
    <t>Property, Plant &amp; Equipment (Net)</t>
  </si>
  <si>
    <t>Gross block minus accumulated depreciation</t>
  </si>
  <si>
    <t>Intangible Assets (Net)</t>
  </si>
  <si>
    <t>Software, patents, trademarks (net of amortisation)</t>
  </si>
  <si>
    <t>Right of Use Assets</t>
  </si>
  <si>
    <t>Ind AS 116 lease assets</t>
  </si>
  <si>
    <t>Long-term Investments</t>
  </si>
  <si>
    <t>Equity in subsidiaries, associates, JVs</t>
  </si>
  <si>
    <t>Goodwill</t>
  </si>
  <si>
    <t>Only from business combinations (Ind AS 103)</t>
  </si>
  <si>
    <t>Other Non-Current Assets</t>
  </si>
  <si>
    <t>Security deposits, deferred tax assets (net)</t>
  </si>
  <si>
    <t>TOTAL NON-CURRENT ASSETS</t>
  </si>
  <si>
    <t>TOTAL ASSETS</t>
  </si>
  <si>
    <t>BALANCE SHEET — LIABILITIES &amp; EQUITY</t>
  </si>
  <si>
    <t>Short-term Borrowings</t>
  </si>
  <si>
    <t>CC/OD, working capital loans, bills discounted</t>
  </si>
  <si>
    <t>Trade Payables</t>
  </si>
  <si>
    <t>MSME + other payables</t>
  </si>
  <si>
    <t>Current Portion of Long-term Debt</t>
  </si>
  <si>
    <t>LT debt maturing within 12 months</t>
  </si>
  <si>
    <t>Other Current Liabilities</t>
  </si>
  <si>
    <t>Statutory dues, advances from customers</t>
  </si>
  <si>
    <t>Provisions (Current)</t>
  </si>
  <si>
    <t>Employee benefits, warranty, onerous contracts</t>
  </si>
  <si>
    <t>TOTAL CURRENT LIABILITIES</t>
  </si>
  <si>
    <t>Long-term Borrowings</t>
  </si>
  <si>
    <t>Term loans, debentures, bonds (non-current)</t>
  </si>
  <si>
    <t>Deferred Tax Liabilities (Net)</t>
  </si>
  <si>
    <t>DTL minus DTA if net liability position</t>
  </si>
  <si>
    <t>Other Non-Current Liabilities</t>
  </si>
  <si>
    <t>Lease liabilities (non-current), gratuity</t>
  </si>
  <si>
    <t>TOTAL NON-CURRENT LIABILITIES</t>
  </si>
  <si>
    <t>Share Capital</t>
  </si>
  <si>
    <t>Equity + preference (authorised vs paid-up)</t>
  </si>
  <si>
    <t>Reserves &amp; Surplus</t>
  </si>
  <si>
    <t>Securities premium, retained earnings, general reserve</t>
  </si>
  <si>
    <t>Other Equity</t>
  </si>
  <si>
    <t>OCI reserves, share application money</t>
  </si>
  <si>
    <t>TOTAL SHAREHOLDERS' EQUITY</t>
  </si>
  <si>
    <t>TOTAL LIABILITIES &amp; EQUITY</t>
  </si>
  <si>
    <t>⚡ BALANCE SHEET CHECK (Assets = L+E)</t>
  </si>
  <si>
    <t>PROFIT &amp; LOSS STATEMENT</t>
  </si>
  <si>
    <t>Revenue from Operations</t>
  </si>
  <si>
    <t>Net of GST, excise, discounts, returns</t>
  </si>
  <si>
    <t>Other Income</t>
  </si>
  <si>
    <t>Interest, dividends, forex gain, misc</t>
  </si>
  <si>
    <t>TOTAL INCOME</t>
  </si>
  <si>
    <t>Cost of Materials Consumed / COGS</t>
  </si>
  <si>
    <t>Opening + Purchases - Closing stock</t>
  </si>
  <si>
    <t>Changes in Inventories of FG &amp; WIP</t>
  </si>
  <si>
    <t>Decrease = positive (expense); Increase = negative</t>
  </si>
  <si>
    <t>Employee Benefit Expenses</t>
  </si>
  <si>
    <t>Salaries, bonus, PF, gratuity, ESOP cost</t>
  </si>
  <si>
    <t>Depreciation &amp; Amortisation</t>
  </si>
  <si>
    <t>As per Sch II / Ind AS 16 useful life</t>
  </si>
  <si>
    <t>Finance Costs</t>
  </si>
  <si>
    <t>Interest on loans + lease interest + bank charges</t>
  </si>
  <si>
    <t>Other Expenses</t>
  </si>
  <si>
    <t>Rent, repairs, power, legal, audit, CSR, insurance</t>
  </si>
  <si>
    <t>TOTAL EXPENSES</t>
  </si>
  <si>
    <t>Profit Before Exceptional Items &amp; Tax</t>
  </si>
  <si>
    <t>Exceptional Items (Net)</t>
  </si>
  <si>
    <t>Impairment, restructuring, one-off gains/losses</t>
  </si>
  <si>
    <t>Profit Before Tax (PBT)</t>
  </si>
  <si>
    <t>Tax Expense (Current + Deferred)</t>
  </si>
  <si>
    <t>Current tax + deferred tax charge/(credit)</t>
  </si>
  <si>
    <t>NET PROFIT AFTER TAX (PAT)</t>
  </si>
  <si>
    <t>Other Comprehensive Income (Net)</t>
  </si>
  <si>
    <t>Remeasurements, fair value changes in OCI</t>
  </si>
  <si>
    <t>TOTAL COMPREHENSIVE INCOME</t>
  </si>
  <si>
    <t>Basic EPS (₹)</t>
  </si>
  <si>
    <t>PAT / Weighted avg equity shares</t>
  </si>
  <si>
    <t>Diluted EPS (₹)</t>
  </si>
  <si>
    <t>PAT / (Weighted avg + dilutive potential shares)</t>
  </si>
  <si>
    <t>Dividend Per Share (₹)</t>
  </si>
  <si>
    <t>Total dividend / Number of shares</t>
  </si>
  <si>
    <t>No. of Equity Shares (Lakhs)</t>
  </si>
  <si>
    <t>Weighted average for the year</t>
  </si>
  <si>
    <t>CASH FLOW STATEMENT</t>
  </si>
  <si>
    <t>Cash Flow from Operations (CFO)</t>
  </si>
  <si>
    <t>Indirect method: PAT + non-cash adj + WC changes</t>
  </si>
  <si>
    <t>Cash Flow from Investing (CFI)</t>
  </si>
  <si>
    <t>CapEx, acquisitions, investment purchase/sale</t>
  </si>
  <si>
    <t>Cash Flow from Financing (CFF)</t>
  </si>
  <si>
    <t>Borrowings, repayments, dividends, buybacks</t>
  </si>
  <si>
    <t>NET CHANGE IN CASH</t>
  </si>
  <si>
    <t>Capital Expenditure (CapEx)</t>
  </si>
  <si>
    <t>Purchase of PPE + intangibles (enter as positive)</t>
  </si>
  <si>
    <t>FREE CASH FLOW (CFO - CapEx)</t>
  </si>
  <si>
    <t xml:space="preserve">  MARKET DATA (Enter MCap &amp; EV in same unit as financials above)</t>
  </si>
  <si>
    <t>Market Price Per Share (₹)</t>
  </si>
  <si>
    <t>Closing price on analysis date (always in Rs. per share)</t>
  </si>
  <si>
    <t>Market Capitalisation</t>
  </si>
  <si>
    <t>⚠ ENTER IN SAME UNIT as financials above (not in Lakhs if data is in Crores)</t>
  </si>
  <si>
    <t>Enterprise Value</t>
  </si>
  <si>
    <t>⚠ SAME UNIT as financials. EV = MCap + Total Debt - Cash</t>
  </si>
  <si>
    <t>Sector Average P/E (x)</t>
  </si>
  <si>
    <t>For relative valuation comparison</t>
  </si>
  <si>
    <t>By CA Rushabh Jamdade | ⚠ For reference only. Do not use directly without independent verification. No liability accepted for decisions based on this tool.</t>
  </si>
  <si>
    <t>RATIO ANALYSIS — 55+ Metrics with Auto-Interpretation</t>
  </si>
  <si>
    <t>All values auto-calculated | Conditional signals | 5-Year trend with YoY change | Smart diagnostics</t>
  </si>
  <si>
    <t>#</t>
  </si>
  <si>
    <t>Ratio</t>
  </si>
  <si>
    <t>Formula Logic</t>
  </si>
  <si>
    <t>Yr 1</t>
  </si>
  <si>
    <t>Yr 2</t>
  </si>
  <si>
    <t>Yr 3</t>
  </si>
  <si>
    <t>Yr 4</t>
  </si>
  <si>
    <t>Yr 5 (Latest)</t>
  </si>
  <si>
    <t>5Y Trend</t>
  </si>
  <si>
    <t>YoY Δ%</t>
  </si>
  <si>
    <t>Auto-Diagnostic</t>
  </si>
  <si>
    <t>A. LIQUIDITY — Can the company meet short-term obligations?</t>
  </si>
  <si>
    <t>Current Ratio</t>
  </si>
  <si>
    <t>Current Assets ÷ CL</t>
  </si>
  <si>
    <t>Quick Ratio (Acid Test)</t>
  </si>
  <si>
    <t>(CA − Inventory) ÷ CL</t>
  </si>
  <si>
    <t>Cash Ratio</t>
  </si>
  <si>
    <t>Cash ÷ CL</t>
  </si>
  <si>
    <t>Net Working Capital (₹L)</t>
  </si>
  <si>
    <t>CA − CL</t>
  </si>
  <si>
    <t>Defensive Interval (Days)</t>
  </si>
  <si>
    <t>(Cash+Recv+STInv) ÷ DailyOpEx</t>
  </si>
  <si>
    <t>B. PROFITABILITY — How efficiently is revenue converted to profit?</t>
  </si>
  <si>
    <t>Gross Profit Margin</t>
  </si>
  <si>
    <t>(Rev − COGS) ÷ Revenue</t>
  </si>
  <si>
    <t>EBITDA (₹L)</t>
  </si>
  <si>
    <t>PBT + Interest + Depreciation</t>
  </si>
  <si>
    <t>EBITDA Margin</t>
  </si>
  <si>
    <t>EBITDA ÷ Revenue</t>
  </si>
  <si>
    <t>Operating Profit Margin</t>
  </si>
  <si>
    <t>(Rev−COGS−Emp−OtherExp) ÷ Rev</t>
  </si>
  <si>
    <t>Net Profit Margin</t>
  </si>
  <si>
    <t>PAT ÷ Revenue</t>
  </si>
  <si>
    <t>Return on Equity (ROE)</t>
  </si>
  <si>
    <t>PAT ÷ Equity</t>
  </si>
  <si>
    <t>Return on Assets (ROA)</t>
  </si>
  <si>
    <t>PAT ÷ Total Assets</t>
  </si>
  <si>
    <t>Return on Capital Employed</t>
  </si>
  <si>
    <t>(PBT + Int) ÷ (TA − CL)</t>
  </si>
  <si>
    <t>Cash Return on Assets</t>
  </si>
  <si>
    <t>CFO ÷ Total Assets</t>
  </si>
  <si>
    <t>C. LEVERAGE &amp; SOLVENCY — Can the company survive long-term debt obligations?</t>
  </si>
  <si>
    <t>Debt-to-Equity</t>
  </si>
  <si>
    <t>Total Debt ÷ Equity</t>
  </si>
  <si>
    <t>Debt-to-Assets</t>
  </si>
  <si>
    <t>Total Debt ÷ Total Assets</t>
  </si>
  <si>
    <t>Equity Ratio</t>
  </si>
  <si>
    <t>Equity ÷ Total Assets</t>
  </si>
  <si>
    <t>Interest Coverage</t>
  </si>
  <si>
    <t>EBIT ÷ Interest</t>
  </si>
  <si>
    <t>DSCR</t>
  </si>
  <si>
    <t>(PAT+Dep+Int) ÷ (Int+CPLTD)</t>
  </si>
  <si>
    <t>Financial Leverage</t>
  </si>
  <si>
    <t>Total Assets ÷ Equity</t>
  </si>
  <si>
    <t>Net Debt (₹L)</t>
  </si>
  <si>
    <t>Total Debt − Cash</t>
  </si>
  <si>
    <t>Net Debt / EBITDA</t>
  </si>
  <si>
    <t>Net Debt ÷ EBITDA</t>
  </si>
  <si>
    <t>D. EFFICIENCY &amp; ACTIVITY — How well are resources being used?</t>
  </si>
  <si>
    <t>Inventory Turnover</t>
  </si>
  <si>
    <t>COGS ÷ Inventory</t>
  </si>
  <si>
    <t>Days Inventory Outstanding</t>
  </si>
  <si>
    <t>Inventory × 365 ÷ COGS</t>
  </si>
  <si>
    <t>Receivables Turnover</t>
  </si>
  <si>
    <t>Revenue ÷ Receivables</t>
  </si>
  <si>
    <t>Days Sales Outstanding</t>
  </si>
  <si>
    <t>Receivables × 365 ÷ Rev</t>
  </si>
  <si>
    <t>Payables Turnover</t>
  </si>
  <si>
    <t>COGS ÷ Payables</t>
  </si>
  <si>
    <t>Days Payable Outstanding</t>
  </si>
  <si>
    <t>Payables × 365 ÷ COGS</t>
  </si>
  <si>
    <t>Cash Conversion Cycle</t>
  </si>
  <si>
    <t>DIO + DSO − DPO</t>
  </si>
  <si>
    <t>Total Asset Turnover</t>
  </si>
  <si>
    <t>Revenue ÷ Total Assets</t>
  </si>
  <si>
    <t>Fixed Asset Turnover</t>
  </si>
  <si>
    <t>Revenue ÷ Net PPE</t>
  </si>
  <si>
    <t>Working Capital Turnover</t>
  </si>
  <si>
    <t>Revenue ÷ Net WC</t>
  </si>
  <si>
    <t>E. CASH FLOW QUALITY — Is profit converting to real cash?</t>
  </si>
  <si>
    <t>Operating CF Ratio</t>
  </si>
  <si>
    <t>CFO ÷ CL</t>
  </si>
  <si>
    <t>Free Cash Flow (₹L)</t>
  </si>
  <si>
    <t>CFO − CapEx</t>
  </si>
  <si>
    <t>FCF Yield</t>
  </si>
  <si>
    <t>FCF ÷ Market Cap</t>
  </si>
  <si>
    <t>Cash Flow to Debt</t>
  </si>
  <si>
    <t>CFO ÷ Total Debt</t>
  </si>
  <si>
    <t>Accrual Quality (CFO/PAT)</t>
  </si>
  <si>
    <t>CFO ÷ PAT</t>
  </si>
  <si>
    <t>CapEx Intensity</t>
  </si>
  <si>
    <t>CapEx ÷ Revenue</t>
  </si>
  <si>
    <t>F. VALUATION — What is the market paying?</t>
  </si>
  <si>
    <t>Price/Earnings (P/E)</t>
  </si>
  <si>
    <t>Market Price ÷ EPS</t>
  </si>
  <si>
    <t>Price/Book (P/B)</t>
  </si>
  <si>
    <t>Market Cap ÷ Equity</t>
  </si>
  <si>
    <t>EV/EBITDA</t>
  </si>
  <si>
    <t>EV ÷ EBITDA</t>
  </si>
  <si>
    <t>EV/Revenue</t>
  </si>
  <si>
    <t>EV ÷ Revenue</t>
  </si>
  <si>
    <t>Dividend Yield</t>
  </si>
  <si>
    <t>DPS ÷ Market Price</t>
  </si>
  <si>
    <t>Dividend Payout Ratio</t>
  </si>
  <si>
    <t>DPS ÷ EPS</t>
  </si>
  <si>
    <t>Earnings Yield</t>
  </si>
  <si>
    <t>EPS ÷ Market Price</t>
  </si>
  <si>
    <t>G. DUPONT DECOMPOSITION — What is actually driving ROE?</t>
  </si>
  <si>
    <t>Net Margin (DuPont)</t>
  </si>
  <si>
    <t>Asset Turnover (DuPont)</t>
  </si>
  <si>
    <t>Equity Multiplier (DuPont)</t>
  </si>
  <si>
    <t>ROE (3-Factor DuPont)</t>
  </si>
  <si>
    <t>Margin × Turnover × Multiplier</t>
  </si>
  <si>
    <t>Tax Burden</t>
  </si>
  <si>
    <t>PAT ÷ PBT</t>
  </si>
  <si>
    <t>Interest Burden</t>
  </si>
  <si>
    <t>PBT ÷ EBIT</t>
  </si>
  <si>
    <t>FRAUD DETECTION &amp; FINANCIAL DISTRESS SCORES</t>
  </si>
  <si>
    <t>Beneish M-Score | Altman Z-Score | Piotroski F-Score | Auto-interpreted with diagnostics</t>
  </si>
  <si>
    <t>BENEISH M-SCORE — Detects Earnings Manipulation (Accrual-based)</t>
  </si>
  <si>
    <t>Component</t>
  </si>
  <si>
    <t>What It Measures</t>
  </si>
  <si>
    <t>Yr2</t>
  </si>
  <si>
    <t>Yr3</t>
  </si>
  <si>
    <t>Yr4</t>
  </si>
  <si>
    <t>Yr5</t>
  </si>
  <si>
    <t>Interpretation</t>
  </si>
  <si>
    <t>DSRI</t>
  </si>
  <si>
    <t>Days Sales Receivable Index — sudden receivable spike vs revenue suggests channel stuffing</t>
  </si>
  <si>
    <t>GMI</t>
  </si>
  <si>
    <t>Gross Margin Index — declining GM signals margin pressure, incentive to manipulate</t>
  </si>
  <si>
    <t>AQI</t>
  </si>
  <si>
    <t>Asset Quality Index — rising intangible/non-current assets may hide cost capitalisation</t>
  </si>
  <si>
    <t>SGI</t>
  </si>
  <si>
    <t>Sales Growth Index — rapid growth correlates with manipulation (pressure to maintain growth)</t>
  </si>
  <si>
    <t>DEPI</t>
  </si>
  <si>
    <t>Depreciation Index — slowing depreciation inflates profits</t>
  </si>
  <si>
    <t>SGAI</t>
  </si>
  <si>
    <t>SGA Expense Index — disproportionate overhead growth signals inefficiency</t>
  </si>
  <si>
    <t>LVGI</t>
  </si>
  <si>
    <t>Leverage Index — rising leverage increases manipulation incentive (covenant pressure)</t>
  </si>
  <si>
    <t>TATA</t>
  </si>
  <si>
    <t>Total Accruals / TA — high accruals relative to cash = low earnings quality</t>
  </si>
  <si>
    <t>M-SCORE</t>
  </si>
  <si>
    <t>-4.84 + 0.92×DSRI + 0.528×GMI + 0.404×AQI + 0.892×SGI + 0.115×DEPI − 0.172×SGAI + 4.679×TATA − 0.327×LVGI</t>
  </si>
  <si>
    <t>VERDICT</t>
  </si>
  <si>
    <t>&gt; -1.78 = Likely Manipulator | -2.22 to -1.78 = Grey | &lt; -2.22 = Unlikely</t>
  </si>
  <si>
    <t>M-Score &gt; -1.78 correctly identified 76% of manipulators in Beneish's original study. Grey zone warrants deeper investigation of accruals and revenue recognition.</t>
  </si>
  <si>
    <t>ALTMAN Z-SCORE — Bankruptcy Prediction (Manufacturing/Public Companies)</t>
  </si>
  <si>
    <t>Yr 5</t>
  </si>
  <si>
    <t>X1: WC/TA</t>
  </si>
  <si>
    <t>Liquidity relative to size — low = trouble</t>
  </si>
  <si>
    <t>X2: RE/TA</t>
  </si>
  <si>
    <t>Cumulative profitability — mature firms score higher</t>
  </si>
  <si>
    <t>X3: EBIT/TA</t>
  </si>
  <si>
    <t>Operating efficiency — core earning power of assets</t>
  </si>
  <si>
    <t>X4: MCap/TL</t>
  </si>
  <si>
    <t>Market confidence relative to obligations</t>
  </si>
  <si>
    <t>X5: Rev/TA</t>
  </si>
  <si>
    <t>Asset utilisation efficiency</t>
  </si>
  <si>
    <t>Z-SCORE</t>
  </si>
  <si>
    <t>1.2×X1 + 1.4×X2 + 3.3×X3 + 0.6×X4 + 1.0×X5</t>
  </si>
  <si>
    <t>&gt; 2.99 Safe | 1.81-2.99 Grey | &lt; 1.81 Distress</t>
  </si>
  <si>
    <t>Originally developed for US manufacturing firms. For non-manufacturing or private companies, Altman later developed Z'-Score (uses BV of equity instead of MCap for X4). Consider context.</t>
  </si>
  <si>
    <t>PIOTROSKI F-SCORE — Financial Strength for Value Investing (9-point scoring)</t>
  </si>
  <si>
    <t>Test (1 point each)</t>
  </si>
  <si>
    <t>What It Checks</t>
  </si>
  <si>
    <t>1. Positive Net Income</t>
  </si>
  <si>
    <t>Basic profitability — is the company making money?</t>
  </si>
  <si>
    <t>2. Positive CFO</t>
  </si>
  <si>
    <t>Cash generation — not just paper profit?</t>
  </si>
  <si>
    <t>3. Improving ROA</t>
  </si>
  <si>
    <t>Getting better at using assets?</t>
  </si>
  <si>
    <t>4. CFO &gt; PAT (Accrual Quality)</t>
  </si>
  <si>
    <t>Is cash backing up reported profits?</t>
  </si>
  <si>
    <t>5. Lower Leverage YoY</t>
  </si>
  <si>
    <t>Is the company reducing debt risk?</t>
  </si>
  <si>
    <t>6. Improving Liquidity</t>
  </si>
  <si>
    <t>Better short-term safety net?</t>
  </si>
  <si>
    <t>7. No Share Dilution</t>
  </si>
  <si>
    <t>Management respecting existing shareholders?</t>
  </si>
  <si>
    <t>8. Improving Gross Margin</t>
  </si>
  <si>
    <t>Better pricing power or cost control?</t>
  </si>
  <si>
    <t>9. Improving Asset Turnover</t>
  </si>
  <si>
    <t>Generating more revenue per asset?</t>
  </si>
  <si>
    <t>F-SCORE (out of 9)</t>
  </si>
  <si>
    <t>8-9 Strong | 5-7 Average | 0-4 Weak</t>
  </si>
  <si>
    <t>Piotroski (2000) showed buying high-F-Score stocks within the highest Book/Market quintile outperformed by 7.5% annually. Score is most useful for value investing screens.</t>
  </si>
  <si>
    <t>FINANCIAL HEALTH DASHBOARD — Executive Summary</t>
  </si>
  <si>
    <t>Auto-generated from latest year data | One-page health check for management &amp; board</t>
  </si>
  <si>
    <t>Metric</t>
  </si>
  <si>
    <t>Latest Value</t>
  </si>
  <si>
    <t>Signal</t>
  </si>
  <si>
    <t>Trend</t>
  </si>
  <si>
    <t>Prior Year</t>
  </si>
  <si>
    <t>Quick Take</t>
  </si>
  <si>
    <t>LIQUIDITY HEALTH</t>
  </si>
  <si>
    <t>Quick Ratio</t>
  </si>
  <si>
    <t>Net Working Capital</t>
  </si>
  <si>
    <t>PROFITABILITY HEALTH</t>
  </si>
  <si>
    <t>ROE</t>
  </si>
  <si>
    <t>ROCE</t>
  </si>
  <si>
    <t>LEVERAGE HEALTH</t>
  </si>
  <si>
    <t>Debt/Equity</t>
  </si>
  <si>
    <t>Net Debt/EBITDA</t>
  </si>
  <si>
    <t>EFFICIENCY HEALTH</t>
  </si>
  <si>
    <t>DSO</t>
  </si>
  <si>
    <t>DIO</t>
  </si>
  <si>
    <t>Asset Turnover</t>
  </si>
  <si>
    <t>CASH FLOW HEALTH</t>
  </si>
  <si>
    <t>FCF</t>
  </si>
  <si>
    <t>Accrual Quality</t>
  </si>
  <si>
    <t>CF to Debt</t>
  </si>
  <si>
    <t>FRAUD &amp; DISTRESS SUMMARY (Latest Year)</t>
  </si>
  <si>
    <t>Beneish M-Score</t>
  </si>
  <si>
    <t>Altman Z-Score</t>
  </si>
  <si>
    <t>Piotroski F-Score</t>
  </si>
  <si>
    <t>COMMON-SIZE ANALYSIS</t>
  </si>
  <si>
    <t>P&amp;L as % of Revenue | Balance Sheet as % of Total Assets | Auto-calculated</t>
  </si>
  <si>
    <t>Particulars</t>
  </si>
  <si>
    <t>Year 1</t>
  </si>
  <si>
    <t>Year 5</t>
  </si>
  <si>
    <t>5Y Avg</t>
  </si>
  <si>
    <t>P&amp;L — EVERY LINE ITEM AS % OF REVENUE</t>
  </si>
  <si>
    <t>Cost of Materials / COGS</t>
  </si>
  <si>
    <t>Changes in Inventories</t>
  </si>
  <si>
    <t>Employee Expenses</t>
  </si>
  <si>
    <t>PBT</t>
  </si>
  <si>
    <t>Tax Expense</t>
  </si>
  <si>
    <t>NET PROFIT (PAT)</t>
  </si>
  <si>
    <t>BALANCE SHEET — EVERY LINE ITEM AS % OF TOTAL ASSETS</t>
  </si>
  <si>
    <t>Cash &amp; Equivalents</t>
  </si>
  <si>
    <t>Trade Receivables</t>
  </si>
  <si>
    <t>PPE (Net)</t>
  </si>
  <si>
    <t>Intangibles</t>
  </si>
  <si>
    <t>TOTAL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</si>
</sst>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(#,##0.00\);\-"/>
    <numFmt numFmtId="165" formatCode="0.00\x"/>
    <numFmt numFmtId="166" formatCode="0.0%;\(0.0%\);\—"/>
    <numFmt numFmtId="167" formatCode="#,##0;\(#,##0\);\-"/>
    <numFmt numFmtId="168" formatCode="0&quot; days&quot;"/>
    <numFmt numFmtId="169" formatCode="0.0%"/>
    <numFmt numFmtId="170" formatCode="0.000"/>
    <numFmt numFmtId="171" formatCode="0&quot;/9&quot;"/>
  </numFmts>
  <fonts count="26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sz val="11"/>
      <name val="Arial"/>
      <charset val="1"/>
    </font>
    <font>
      <b/>
      <sz val="11"/>
      <name val="Arial"/>
      <charset val="1"/>
    </font>
    <font>
      <b/>
      <sz val="18"/>
      <color rgb="FFFFFFFF"/>
      <name val="Arial"/>
      <charset val="1"/>
    </font>
    <font>
      <b/>
      <sz val="10"/>
      <color rgb="FFD4A843"/>
      <name val="Arial"/>
      <charset val="1"/>
    </font>
    <font>
      <b/>
      <sz val="10"/>
      <color rgb="FFFFFFFF"/>
      <name val="Arial"/>
      <charset val="1"/>
    </font>
    <font>
      <b/>
      <sz val="10"/>
      <color rgb="FF1A1A1A"/>
      <name val="Arial"/>
      <charset val="1"/>
    </font>
    <font>
      <sz val="10"/>
      <color rgb="FF0000FF"/>
      <name val="Arial"/>
      <charset val="1"/>
    </font>
    <font>
      <i/>
      <sz val="9"/>
      <color rgb="FF888888"/>
      <name val="Arial"/>
      <charset val="1"/>
    </font>
    <font>
      <b/>
      <sz val="11"/>
      <color rgb="FFFFFFFF"/>
      <name val="Arial"/>
      <charset val="1"/>
    </font>
    <font>
      <sz val="10"/>
      <color rgb="FF1A1A1A"/>
      <name val="Arial"/>
      <charset val="1"/>
    </font>
    <font>
      <b/>
      <sz val="9"/>
      <color rgb="FF4A90D9"/>
      <name val="Arial"/>
      <charset val="1"/>
    </font>
    <font>
      <b/>
      <sz val="9"/>
      <color rgb="FFC0392B"/>
      <name val="Arial"/>
      <charset val="1"/>
    </font>
    <font>
      <i/>
      <sz val="8"/>
      <color rgb="FF999999"/>
      <name val="Arial"/>
      <charset val="1"/>
    </font>
    <font>
      <b/>
      <sz val="12"/>
      <name val="Arial"/>
      <charset val="1"/>
    </font>
    <font>
      <sz val="9"/>
      <color rgb="FF333333"/>
      <name val="Arial"/>
      <charset val="1"/>
    </font>
    <font>
      <b/>
      <sz val="10"/>
      <color rgb="FFFFD700"/>
      <name val="Arial"/>
      <charset val="1"/>
    </font>
    <font>
      <b/>
      <sz val="12"/>
      <color rgb="FFFFFFFF"/>
      <name val="Arial"/>
      <charset val="1"/>
    </font>
    <font>
      <i/>
      <sz val="8"/>
      <color rgb="FFFFD700"/>
      <name val="Arial"/>
      <charset val="1"/>
    </font>
    <font>
      <b/>
      <sz val="10"/>
      <name val="Arial"/>
      <charset val="1"/>
    </font>
    <font>
      <i/>
      <sz val="9"/>
      <color rgb="FF666666"/>
      <name val="Arial"/>
      <charset val="1"/>
    </font>
    <font>
      <i/>
      <sz val="9"/>
      <color rgb="FFD4A843"/>
      <name val="Arial"/>
      <charset val="1"/>
    </font>
    <font>
      <i/>
      <sz val="9"/>
      <color rgb="FFFFFFFF"/>
      <name val="Arial"/>
      <charset val="1"/>
    </font>
    <font>
      <b/>
      <sz val="14"/>
      <color rgb="FFFFFFFF"/>
      <name val="Arial"/>
      <charset val="1"/>
    </font>
    <font>
      <sz val="14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1B2A4A"/>
        <bgColor rgb="FF333333"/>
      </patternFill>
    </fill>
    <fill>
      <patternFill patternType="solid">
        <fgColor rgb="FF34495E"/>
        <bgColor rgb="FF333333"/>
      </patternFill>
    </fill>
    <fill>
      <patternFill patternType="solid">
        <fgColor rgb="FFF5F5F5"/>
        <bgColor rgb="FFFAFAFA"/>
      </patternFill>
    </fill>
    <fill>
      <patternFill patternType="solid">
        <fgColor rgb="FFE8F0FE"/>
        <bgColor rgb="FFF5F5F5"/>
      </patternFill>
    </fill>
    <fill>
      <patternFill patternType="solid">
        <fgColor rgb="FFFFF3CD"/>
        <bgColor rgb="FFF5F5F5"/>
      </patternFill>
    </fill>
    <fill>
      <patternFill patternType="solid">
        <fgColor rgb="FFFFFFFF"/>
        <bgColor rgb="FFFAFAFA"/>
      </patternFill>
    </fill>
    <fill>
      <patternFill patternType="solid">
        <fgColor rgb="FFFAFAFA"/>
        <bgColor rgb="FFFFFFFF"/>
      </patternFill>
    </fill>
    <fill>
      <patternFill patternType="solid">
        <fgColor rgb="FF8B0000"/>
        <bgColor rgb="FF800000"/>
      </patternFill>
    </fill>
    <fill>
      <patternFill patternType="solid">
        <fgColor rgb="FF27AE60"/>
        <bgColor rgb="FF008080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1B2A4A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0" fontId="7" fillId="6" borderId="2" xfId="0" applyFont="1" applyFill="1" applyBorder="1" applyAlignment="1" applyProtection="1">
      <alignment horizontal="left" vertical="center" wrapText="1"/>
      <protection locked="0"/>
    </xf>
    <xf numFmtId="0" fontId="9" fillId="7" borderId="2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 applyProtection="1">
      <alignment horizontal="left" vertical="center" wrapText="1"/>
      <protection locked="0"/>
    </xf>
    <xf numFmtId="164" fontId="8" fillId="5" borderId="2" xfId="0" applyNumberFormat="1" applyFont="1" applyFill="1" applyBorder="1" applyAlignment="1" applyProtection="1">
      <alignment horizontal="right" vertical="center"/>
      <protection locked="0"/>
    </xf>
    <xf numFmtId="164" fontId="7" fillId="4" borderId="3" xfId="0" applyNumberFormat="1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left" vertical="center" wrapText="1"/>
      <protection locked="0"/>
    </xf>
    <xf numFmtId="4" fontId="8" fillId="5" borderId="2" xfId="0" applyNumberFormat="1" applyFont="1" applyFill="1" applyBorder="1" applyAlignment="1" applyProtection="1">
      <alignment horizontal="right" vertical="center"/>
      <protection locked="0"/>
    </xf>
    <xf numFmtId="0" fontId="13" fillId="7" borderId="2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165" fontId="11" fillId="7" borderId="2" xfId="0" applyNumberFormat="1" applyFont="1" applyFill="1" applyBorder="1" applyAlignment="1">
      <alignment horizontal="right" vertical="center"/>
    </xf>
    <xf numFmtId="0" fontId="15" fillId="7" borderId="2" xfId="0" applyFont="1" applyFill="1" applyBorder="1" applyAlignment="1">
      <alignment horizontal="center" vertical="center" wrapText="1"/>
    </xf>
    <xf numFmtId="166" fontId="11" fillId="7" borderId="2" xfId="0" applyNumberFormat="1" applyFont="1" applyFill="1" applyBorder="1" applyAlignment="1">
      <alignment horizontal="right" vertical="center"/>
    </xf>
    <xf numFmtId="0" fontId="16" fillId="8" borderId="2" xfId="0" applyFont="1" applyFill="1" applyBorder="1" applyAlignment="1">
      <alignment horizontal="left" vertical="center" wrapText="1"/>
    </xf>
    <xf numFmtId="167" fontId="11" fillId="7" borderId="2" xfId="0" applyNumberFormat="1" applyFont="1" applyFill="1" applyBorder="1" applyAlignment="1">
      <alignment horizontal="right" vertical="center"/>
    </xf>
    <xf numFmtId="168" fontId="11" fillId="7" borderId="2" xfId="0" applyNumberFormat="1" applyFont="1" applyFill="1" applyBorder="1" applyAlignment="1">
      <alignment horizontal="right" vertical="center"/>
    </xf>
    <xf numFmtId="169" fontId="11" fillId="7" borderId="2" xfId="0" applyNumberFormat="1" applyFont="1" applyFill="1" applyBorder="1" applyAlignment="1">
      <alignment horizontal="right" vertical="center"/>
    </xf>
    <xf numFmtId="170" fontId="11" fillId="7" borderId="2" xfId="0" applyNumberFormat="1" applyFont="1" applyFill="1" applyBorder="1" applyAlignment="1">
      <alignment horizontal="right" vertical="center"/>
    </xf>
    <xf numFmtId="0" fontId="0" fillId="0" borderId="2" xfId="0" applyBorder="1"/>
    <xf numFmtId="0" fontId="18" fillId="9" borderId="2" xfId="0" applyFont="1" applyFill="1" applyBorder="1" applyAlignment="1">
      <alignment horizontal="left" vertical="center" wrapText="1"/>
    </xf>
    <xf numFmtId="0" fontId="19" fillId="9" borderId="2" xfId="0" applyFont="1" applyFill="1" applyBorder="1" applyAlignment="1">
      <alignment horizontal="left" vertical="center" wrapText="1"/>
    </xf>
    <xf numFmtId="2" fontId="18" fillId="9" borderId="2" xfId="0" applyNumberFormat="1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2" fontId="18" fillId="2" borderId="2" xfId="0" applyNumberFormat="1" applyFont="1" applyFill="1" applyBorder="1" applyAlignment="1">
      <alignment horizontal="right" vertical="center"/>
    </xf>
    <xf numFmtId="0" fontId="11" fillId="7" borderId="2" xfId="0" applyFont="1" applyFill="1" applyBorder="1" applyAlignment="1">
      <alignment horizontal="left" vertical="center" wrapText="1"/>
    </xf>
    <xf numFmtId="1" fontId="11" fillId="7" borderId="2" xfId="0" applyNumberFormat="1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left" vertical="center" wrapText="1"/>
    </xf>
    <xf numFmtId="0" fontId="23" fillId="10" borderId="2" xfId="0" applyFont="1" applyFill="1" applyBorder="1" applyAlignment="1">
      <alignment horizontal="left" vertical="center" wrapText="1"/>
    </xf>
    <xf numFmtId="1" fontId="24" fillId="10" borderId="2" xfId="0" applyNumberFormat="1" applyFont="1" applyFill="1" applyBorder="1" applyAlignment="1">
      <alignment horizontal="center" vertical="center" wrapText="1"/>
    </xf>
    <xf numFmtId="0" fontId="25" fillId="7" borderId="2" xfId="0" applyFont="1" applyFill="1" applyBorder="1" applyAlignment="1">
      <alignment horizontal="center" vertical="center" wrapText="1"/>
    </xf>
    <xf numFmtId="3" fontId="11" fillId="7" borderId="2" xfId="0" applyNumberFormat="1" applyFont="1" applyFill="1" applyBorder="1" applyAlignment="1">
      <alignment horizontal="right" vertical="center"/>
    </xf>
    <xf numFmtId="2" fontId="11" fillId="7" borderId="2" xfId="0" applyNumberFormat="1" applyFont="1" applyFill="1" applyBorder="1" applyAlignment="1">
      <alignment horizontal="right" vertical="center"/>
    </xf>
    <xf numFmtId="171" fontId="11" fillId="7" borderId="2" xfId="0" applyNumberFormat="1" applyFont="1" applyFill="1" applyBorder="1" applyAlignment="1">
      <alignment horizontal="center" vertical="center" wrapText="1"/>
    </xf>
    <xf numFmtId="169" fontId="7" fillId="4" borderId="2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</cellXfs>
  <cellStyles count="1">
    <cellStyle name="Normal" xfId="0" builtinId="0"/>
  </cellStyles>
  <dxfs count="4">
    <dxf>
      <font>
        <color rgb="FFC0392B"/>
      </font>
      <fill>
        <patternFill>
          <bgColor rgb="FFFADBD8"/>
        </patternFill>
      </fill>
    </dxf>
    <dxf>
      <font>
        <color rgb="FF27AE60"/>
      </font>
      <fill>
        <patternFill>
          <bgColor rgb="FFD5F5E3"/>
        </patternFill>
      </fill>
    </dxf>
    <dxf>
      <font>
        <b/>
        <color rgb="FFC0392B"/>
      </font>
      <fill>
        <patternFill>
          <bgColor rgb="FFFADBD8"/>
        </patternFill>
      </fill>
    </dxf>
    <dxf>
      <font>
        <b/>
        <color rgb="FF27AE60"/>
      </font>
      <fill>
        <patternFill>
          <bgColor rgb="FFD5F5E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3CD"/>
      <rgbColor rgb="FFE8F0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D5F5E3"/>
      <rgbColor rgb="FFFAFAFA"/>
      <rgbColor rgb="FF99CCFF"/>
      <rgbColor rgb="FFFF99CC"/>
      <rgbColor rgb="FFCC99FF"/>
      <rgbColor rgb="FFFADBD8"/>
      <rgbColor rgb="FF4A90D9"/>
      <rgbColor rgb="FF33CCCC"/>
      <rgbColor rgb="FF99CC00"/>
      <rgbColor rgb="FFFFD700"/>
      <rgbColor rgb="FFD4A843"/>
      <rgbColor rgb="FFFF6600"/>
      <rgbColor rgb="FF666666"/>
      <rgbColor rgb="FF999999"/>
      <rgbColor rgb="FF1B2A4A"/>
      <rgbColor rgb="FF27AE60"/>
      <rgbColor rgb="FF003300"/>
      <rgbColor rgb="FF1A1A1A"/>
      <rgbColor rgb="FFC0392B"/>
      <rgbColor rgb="FF993366"/>
      <rgbColor rgb="FF34495E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19"/>
  <sheetViews>
    <sheetView zoomScaleNormal="100" workbookViewId="0">
      <selection sqref="A1:A2"/>
    </sheetView>
  </sheetViews>
  <sheetFormatPr defaultColWidth="8.7109375" defaultRowHeight="15" x14ac:dyDescent="0.25"/>
  <cols>
    <col min="1" max="1" width="90" customWidth="1"/>
  </cols>
  <sheetData>
    <row r="1" spans="1:1" ht="15" customHeight="1" x14ac:dyDescent="0.25">
      <c r="A1" s="14" t="s">
        <v>0</v>
      </c>
    </row>
    <row r="2" spans="1:1" ht="15" customHeight="1" x14ac:dyDescent="0.25">
      <c r="A2" s="14"/>
    </row>
    <row r="3" spans="1:1" ht="15" customHeight="1" x14ac:dyDescent="0.25">
      <c r="A3" s="15"/>
    </row>
    <row r="4" spans="1:1" ht="15" customHeight="1" x14ac:dyDescent="0.25">
      <c r="A4" s="16"/>
    </row>
    <row r="5" spans="1:1" ht="15" customHeight="1" x14ac:dyDescent="0.25">
      <c r="A5" s="17" t="s">
        <v>1</v>
      </c>
    </row>
    <row r="6" spans="1:1" ht="15" customHeight="1" x14ac:dyDescent="0.25">
      <c r="A6" s="16" t="s">
        <v>2</v>
      </c>
    </row>
    <row r="7" spans="1:1" ht="15" customHeight="1" x14ac:dyDescent="0.25">
      <c r="A7" s="16" t="s">
        <v>3</v>
      </c>
    </row>
    <row r="8" spans="1:1" ht="15" customHeight="1" x14ac:dyDescent="0.25">
      <c r="A8" s="16" t="s">
        <v>4</v>
      </c>
    </row>
    <row r="9" spans="1:1" ht="15" customHeight="1" x14ac:dyDescent="0.25">
      <c r="A9" s="16" t="s">
        <v>5</v>
      </c>
    </row>
    <row r="10" spans="1:1" ht="15" customHeight="1" x14ac:dyDescent="0.25">
      <c r="A10" s="16" t="s">
        <v>6</v>
      </c>
    </row>
    <row r="11" spans="1:1" ht="15" customHeight="1" x14ac:dyDescent="0.25">
      <c r="A11" s="16"/>
    </row>
    <row r="12" spans="1:1" ht="15" customHeight="1" x14ac:dyDescent="0.25">
      <c r="A12" s="17" t="s">
        <v>7</v>
      </c>
    </row>
    <row r="13" spans="1:1" ht="15" customHeight="1" x14ac:dyDescent="0.25">
      <c r="A13" s="16" t="s">
        <v>8</v>
      </c>
    </row>
    <row r="14" spans="1:1" ht="15" customHeight="1" x14ac:dyDescent="0.25">
      <c r="A14" s="16" t="s">
        <v>9</v>
      </c>
    </row>
    <row r="15" spans="1:1" ht="15" customHeight="1" x14ac:dyDescent="0.25">
      <c r="A15" s="16" t="s">
        <v>10</v>
      </c>
    </row>
    <row r="16" spans="1:1" ht="15" customHeight="1" x14ac:dyDescent="0.25">
      <c r="A16" s="16" t="s">
        <v>11</v>
      </c>
    </row>
    <row r="17" spans="1:1" ht="15" customHeight="1" x14ac:dyDescent="0.25">
      <c r="A17" s="16"/>
    </row>
    <row r="18" spans="1:1" ht="15" customHeight="1" x14ac:dyDescent="0.25">
      <c r="A18" s="17" t="s">
        <v>12</v>
      </c>
    </row>
    <row r="19" spans="1:1" ht="15" customHeight="1" x14ac:dyDescent="0.25">
      <c r="A19" s="16" t="s">
        <v>13</v>
      </c>
    </row>
    <row r="20" spans="1:1" ht="15" customHeight="1" x14ac:dyDescent="0.25">
      <c r="A20" s="16" t="s">
        <v>14</v>
      </c>
    </row>
    <row r="21" spans="1:1" ht="15" customHeight="1" x14ac:dyDescent="0.25">
      <c r="A21" s="16" t="s">
        <v>15</v>
      </c>
    </row>
    <row r="22" spans="1:1" ht="15" customHeight="1" x14ac:dyDescent="0.25">
      <c r="A22" s="16" t="s">
        <v>16</v>
      </c>
    </row>
    <row r="23" spans="1:1" ht="15" customHeight="1" x14ac:dyDescent="0.25">
      <c r="A23" s="16"/>
    </row>
    <row r="24" spans="1:1" ht="15" customHeight="1" x14ac:dyDescent="0.25">
      <c r="A24" s="17" t="s">
        <v>17</v>
      </c>
    </row>
    <row r="25" spans="1:1" ht="15" customHeight="1" x14ac:dyDescent="0.25">
      <c r="A25" s="16" t="s">
        <v>18</v>
      </c>
    </row>
    <row r="26" spans="1:1" ht="15" customHeight="1" x14ac:dyDescent="0.25">
      <c r="A26" s="16"/>
    </row>
    <row r="27" spans="1:1" ht="15" customHeight="1" x14ac:dyDescent="0.25">
      <c r="A27" s="17" t="s">
        <v>19</v>
      </c>
    </row>
    <row r="28" spans="1:1" ht="15" customHeight="1" x14ac:dyDescent="0.25">
      <c r="A28" s="16" t="s">
        <v>20</v>
      </c>
    </row>
    <row r="29" spans="1:1" ht="15" customHeight="1" x14ac:dyDescent="0.25">
      <c r="A29" s="16"/>
    </row>
    <row r="30" spans="1:1" ht="15" customHeight="1" x14ac:dyDescent="0.25">
      <c r="A30" s="17" t="s">
        <v>21</v>
      </c>
    </row>
    <row r="31" spans="1:1" ht="15" customHeight="1" x14ac:dyDescent="0.25">
      <c r="A31" s="16" t="s">
        <v>22</v>
      </c>
    </row>
    <row r="32" spans="1:1" ht="15" customHeight="1" x14ac:dyDescent="0.25">
      <c r="A32" s="16" t="s">
        <v>23</v>
      </c>
    </row>
    <row r="33" spans="1:1" ht="15" customHeight="1" x14ac:dyDescent="0.25">
      <c r="A33" s="16" t="s">
        <v>24</v>
      </c>
    </row>
    <row r="34" spans="1:1" ht="15" customHeight="1" x14ac:dyDescent="0.25">
      <c r="A34" s="16" t="s">
        <v>25</v>
      </c>
    </row>
    <row r="35" spans="1:1" ht="15" customHeight="1" x14ac:dyDescent="0.25">
      <c r="A35" s="16" t="s">
        <v>26</v>
      </c>
    </row>
    <row r="36" spans="1:1" ht="15" customHeight="1" x14ac:dyDescent="0.25">
      <c r="A36" s="16"/>
    </row>
    <row r="37" spans="1:1" ht="15" customHeight="1" x14ac:dyDescent="0.25">
      <c r="A37" s="17" t="s">
        <v>27</v>
      </c>
    </row>
    <row r="38" spans="1:1" ht="15" customHeight="1" x14ac:dyDescent="0.25">
      <c r="A38" s="16" t="s">
        <v>28</v>
      </c>
    </row>
    <row r="39" spans="1:1" ht="15" customHeight="1" x14ac:dyDescent="0.25">
      <c r="A39" s="16" t="s">
        <v>29</v>
      </c>
    </row>
    <row r="40" spans="1:1" ht="15" customHeight="1" x14ac:dyDescent="0.25">
      <c r="A40" s="16" t="s">
        <v>30</v>
      </c>
    </row>
    <row r="41" spans="1:1" ht="15" customHeight="1" x14ac:dyDescent="0.25">
      <c r="A41" s="16"/>
    </row>
    <row r="42" spans="1:1" ht="15" customHeight="1" x14ac:dyDescent="0.25">
      <c r="A42" s="17" t="s">
        <v>31</v>
      </c>
    </row>
    <row r="43" spans="1:1" ht="15" customHeight="1" x14ac:dyDescent="0.25">
      <c r="A43" s="16" t="s">
        <v>32</v>
      </c>
    </row>
    <row r="44" spans="1:1" ht="26.25" customHeight="1" x14ac:dyDescent="0.25">
      <c r="A44" s="16" t="s">
        <v>33</v>
      </c>
    </row>
    <row r="45" spans="1:1" ht="15" customHeight="1" x14ac:dyDescent="0.25">
      <c r="A45" s="16" t="s">
        <v>34</v>
      </c>
    </row>
    <row r="46" spans="1:1" ht="15" customHeight="1" x14ac:dyDescent="0.25">
      <c r="A46" s="16" t="s">
        <v>35</v>
      </c>
    </row>
    <row r="47" spans="1:1" ht="15" customHeight="1" x14ac:dyDescent="0.25">
      <c r="A47" s="16"/>
    </row>
    <row r="48" spans="1:1" ht="15" customHeight="1" x14ac:dyDescent="0.25">
      <c r="A48" s="17" t="s">
        <v>36</v>
      </c>
    </row>
    <row r="49" spans="1:1" ht="15" customHeight="1" x14ac:dyDescent="0.25">
      <c r="A49" s="16"/>
    </row>
    <row r="50" spans="1:1" ht="15" customHeight="1" x14ac:dyDescent="0.25">
      <c r="A50" s="16"/>
    </row>
    <row r="51" spans="1:1" ht="15" customHeight="1" x14ac:dyDescent="0.25">
      <c r="A51" s="16"/>
    </row>
    <row r="52" spans="1:1" ht="15" customHeight="1" x14ac:dyDescent="0.25">
      <c r="A52" s="16"/>
    </row>
    <row r="53" spans="1:1" ht="15" customHeight="1" x14ac:dyDescent="0.25">
      <c r="A53" s="16"/>
    </row>
    <row r="54" spans="1:1" ht="15" customHeight="1" x14ac:dyDescent="0.25">
      <c r="A54" s="16"/>
    </row>
    <row r="55" spans="1:1" ht="15" customHeight="1" x14ac:dyDescent="0.25">
      <c r="A55" s="16"/>
    </row>
    <row r="56" spans="1:1" ht="15" customHeight="1" x14ac:dyDescent="0.25">
      <c r="A56" s="16"/>
    </row>
    <row r="57" spans="1:1" ht="15" customHeight="1" x14ac:dyDescent="0.25">
      <c r="A57" s="16"/>
    </row>
    <row r="58" spans="1:1" ht="15" customHeight="1" x14ac:dyDescent="0.25">
      <c r="A58" s="16"/>
    </row>
    <row r="59" spans="1:1" ht="15" customHeight="1" x14ac:dyDescent="0.25">
      <c r="A59" s="16"/>
    </row>
    <row r="60" spans="1:1" ht="15" customHeight="1" x14ac:dyDescent="0.25">
      <c r="A60" s="15"/>
    </row>
    <row r="61" spans="1:1" ht="15" customHeight="1" x14ac:dyDescent="0.25">
      <c r="A61" s="15"/>
    </row>
    <row r="62" spans="1:1" ht="15" customHeight="1" x14ac:dyDescent="0.25">
      <c r="A62" s="15"/>
    </row>
    <row r="63" spans="1:1" ht="15" customHeight="1" x14ac:dyDescent="0.25">
      <c r="A63" s="15"/>
    </row>
    <row r="64" spans="1:1" ht="15" customHeight="1" x14ac:dyDescent="0.25">
      <c r="A64" s="15"/>
    </row>
    <row r="65" spans="1:1" ht="15" customHeight="1" x14ac:dyDescent="0.25">
      <c r="A65" s="15"/>
    </row>
    <row r="66" spans="1:1" ht="15" customHeight="1" x14ac:dyDescent="0.25">
      <c r="A66" s="15"/>
    </row>
    <row r="67" spans="1:1" ht="15" customHeight="1" x14ac:dyDescent="0.25">
      <c r="A67" s="15"/>
    </row>
    <row r="68" spans="1:1" ht="15" customHeight="1" x14ac:dyDescent="0.25">
      <c r="A68" s="15"/>
    </row>
    <row r="69" spans="1:1" ht="15" customHeight="1" x14ac:dyDescent="0.25">
      <c r="A69" s="15"/>
    </row>
    <row r="70" spans="1:1" ht="15" customHeight="1" x14ac:dyDescent="0.25">
      <c r="A70" s="15"/>
    </row>
    <row r="71" spans="1:1" ht="15" customHeight="1" x14ac:dyDescent="0.25">
      <c r="A71" s="15"/>
    </row>
    <row r="72" spans="1:1" ht="15" customHeight="1" x14ac:dyDescent="0.25">
      <c r="A72" s="15"/>
    </row>
    <row r="73" spans="1:1" ht="15" customHeight="1" x14ac:dyDescent="0.25">
      <c r="A73" s="15"/>
    </row>
    <row r="74" spans="1:1" ht="15" customHeight="1" x14ac:dyDescent="0.25">
      <c r="A74" s="15"/>
    </row>
    <row r="75" spans="1:1" ht="15" customHeight="1" x14ac:dyDescent="0.25">
      <c r="A75" s="15"/>
    </row>
    <row r="76" spans="1:1" ht="15" customHeight="1" x14ac:dyDescent="0.25">
      <c r="A76" s="15"/>
    </row>
    <row r="77" spans="1:1" ht="15" customHeight="1" x14ac:dyDescent="0.25">
      <c r="A77" s="15"/>
    </row>
    <row r="78" spans="1:1" ht="15" customHeight="1" x14ac:dyDescent="0.25">
      <c r="A78" s="15"/>
    </row>
    <row r="79" spans="1:1" ht="15" customHeight="1" x14ac:dyDescent="0.25">
      <c r="A79" s="15"/>
    </row>
    <row r="80" spans="1:1" ht="15" customHeight="1" x14ac:dyDescent="0.25">
      <c r="A80" s="15"/>
    </row>
    <row r="81" spans="1:1" ht="15" customHeight="1" x14ac:dyDescent="0.25">
      <c r="A81" s="15"/>
    </row>
    <row r="82" spans="1:1" ht="15" customHeight="1" x14ac:dyDescent="0.25">
      <c r="A82" s="15"/>
    </row>
    <row r="83" spans="1:1" ht="15" customHeight="1" x14ac:dyDescent="0.25">
      <c r="A83" s="15"/>
    </row>
    <row r="84" spans="1:1" ht="15" customHeight="1" x14ac:dyDescent="0.25">
      <c r="A84" s="15"/>
    </row>
    <row r="85" spans="1:1" ht="15" customHeight="1" x14ac:dyDescent="0.25">
      <c r="A85" s="15"/>
    </row>
    <row r="86" spans="1:1" ht="15" customHeight="1" x14ac:dyDescent="0.25">
      <c r="A86" s="15"/>
    </row>
    <row r="87" spans="1:1" ht="15" customHeight="1" x14ac:dyDescent="0.25">
      <c r="A87" s="15"/>
    </row>
    <row r="88" spans="1:1" ht="15" customHeight="1" x14ac:dyDescent="0.25">
      <c r="A88" s="15"/>
    </row>
    <row r="89" spans="1:1" ht="15" customHeight="1" x14ac:dyDescent="0.25">
      <c r="A89" s="15"/>
    </row>
    <row r="90" spans="1:1" ht="15" customHeight="1" x14ac:dyDescent="0.25">
      <c r="A90" s="15"/>
    </row>
    <row r="91" spans="1:1" ht="15" customHeight="1" x14ac:dyDescent="0.25">
      <c r="A91" s="15"/>
    </row>
    <row r="92" spans="1:1" ht="15" customHeight="1" x14ac:dyDescent="0.25">
      <c r="A92" s="15"/>
    </row>
    <row r="93" spans="1:1" ht="15" customHeight="1" x14ac:dyDescent="0.25">
      <c r="A93" s="15"/>
    </row>
    <row r="94" spans="1:1" ht="15" customHeight="1" x14ac:dyDescent="0.25">
      <c r="A94" s="15"/>
    </row>
    <row r="95" spans="1:1" ht="15" customHeight="1" x14ac:dyDescent="0.25">
      <c r="A95" s="15"/>
    </row>
    <row r="96" spans="1:1" ht="15" customHeight="1" x14ac:dyDescent="0.25">
      <c r="A96" s="15"/>
    </row>
    <row r="97" spans="1:1" ht="15" customHeight="1" x14ac:dyDescent="0.25">
      <c r="A97" s="15"/>
    </row>
    <row r="98" spans="1:1" ht="15" customHeight="1" x14ac:dyDescent="0.25">
      <c r="A98" s="15"/>
    </row>
    <row r="99" spans="1:1" ht="15" customHeight="1" x14ac:dyDescent="0.25">
      <c r="A99" s="15"/>
    </row>
    <row r="100" spans="1:1" ht="15" customHeight="1" x14ac:dyDescent="0.25">
      <c r="A100" s="15"/>
    </row>
    <row r="101" spans="1:1" ht="15" customHeight="1" x14ac:dyDescent="0.25">
      <c r="A101" s="15"/>
    </row>
    <row r="102" spans="1:1" ht="15" customHeight="1" x14ac:dyDescent="0.25">
      <c r="A102" s="15"/>
    </row>
    <row r="103" spans="1:1" ht="15" customHeight="1" x14ac:dyDescent="0.25">
      <c r="A103" s="15"/>
    </row>
    <row r="104" spans="1:1" ht="15" customHeight="1" x14ac:dyDescent="0.25">
      <c r="A104" s="15"/>
    </row>
    <row r="105" spans="1:1" ht="15" customHeight="1" x14ac:dyDescent="0.25">
      <c r="A105" s="15"/>
    </row>
    <row r="106" spans="1:1" ht="15" customHeight="1" x14ac:dyDescent="0.25">
      <c r="A106" s="15"/>
    </row>
    <row r="107" spans="1:1" ht="15" customHeight="1" x14ac:dyDescent="0.25">
      <c r="A107" s="15"/>
    </row>
    <row r="108" spans="1:1" ht="15" customHeight="1" x14ac:dyDescent="0.25">
      <c r="A108" s="15"/>
    </row>
    <row r="109" spans="1:1" ht="15" customHeight="1" x14ac:dyDescent="0.25">
      <c r="A109" s="15"/>
    </row>
    <row r="110" spans="1:1" ht="15" customHeight="1" x14ac:dyDescent="0.25">
      <c r="A110" s="15"/>
    </row>
    <row r="111" spans="1:1" ht="15" customHeight="1" x14ac:dyDescent="0.25">
      <c r="A111" s="15"/>
    </row>
    <row r="112" spans="1:1" ht="15" customHeight="1" x14ac:dyDescent="0.25">
      <c r="A112" s="15"/>
    </row>
    <row r="113" spans="1:1" ht="15" customHeight="1" x14ac:dyDescent="0.25">
      <c r="A113" s="15"/>
    </row>
    <row r="114" spans="1:1" ht="15" customHeight="1" x14ac:dyDescent="0.25">
      <c r="A114" s="15"/>
    </row>
    <row r="115" spans="1:1" ht="15" customHeight="1" x14ac:dyDescent="0.25">
      <c r="A115" s="15"/>
    </row>
    <row r="116" spans="1:1" ht="15" customHeight="1" x14ac:dyDescent="0.25">
      <c r="A116" s="15"/>
    </row>
    <row r="117" spans="1:1" ht="15" customHeight="1" x14ac:dyDescent="0.25">
      <c r="A117" s="15"/>
    </row>
    <row r="118" spans="1:1" ht="15" customHeight="1" x14ac:dyDescent="0.25">
      <c r="A118" s="15"/>
    </row>
    <row r="119" spans="1:1" ht="15" customHeight="1" x14ac:dyDescent="0.25">
      <c r="A119" s="15"/>
    </row>
  </sheetData>
  <sheetProtection password="D63A" sheet="1"/>
  <mergeCells count="1">
    <mergeCell ref="A1:A2"/>
  </mergeCells>
  <pageMargins left="0.5" right="0.5" top="0.75" bottom="0.75" header="0.3" footer="0.3"/>
  <pageSetup paperSize="9" fitToHeight="0" orientation="landscape" horizontalDpi="300" verticalDpi="300"/>
  <headerFooter>
    <oddHeader>&amp;C&amp;"Calibri,Bold"&amp;12 &amp;"Calibri,Regular"Financial Ratio Analysis Toolkit | CA Rushabh Jamdade</oddHeader>
    <oddFooter>&amp;LCA Rushabh Jamdade&amp;C&amp;D&amp;RPage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7"/>
  <sheetViews>
    <sheetView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G2"/>
    </sheetView>
  </sheetViews>
  <sheetFormatPr defaultColWidth="8.7109375" defaultRowHeight="15" x14ac:dyDescent="0.25"/>
  <cols>
    <col min="1" max="1" width="45" customWidth="1"/>
    <col min="2" max="6" width="18" customWidth="1"/>
    <col min="7" max="7" width="48" customWidth="1"/>
  </cols>
  <sheetData>
    <row r="1" spans="1:11" ht="15" customHeight="1" x14ac:dyDescent="0.25">
      <c r="A1" s="13" t="s">
        <v>37</v>
      </c>
      <c r="B1" s="13"/>
      <c r="C1" s="13"/>
      <c r="D1" s="13"/>
      <c r="E1" s="13"/>
      <c r="F1" s="13"/>
      <c r="G1" s="13"/>
      <c r="I1" s="18"/>
      <c r="J1" s="18"/>
      <c r="K1" s="18"/>
    </row>
    <row r="2" spans="1:11" ht="15" customHeight="1" x14ac:dyDescent="0.25">
      <c r="A2" s="13"/>
      <c r="B2" s="13"/>
      <c r="C2" s="13"/>
      <c r="D2" s="13"/>
      <c r="E2" s="13"/>
      <c r="F2" s="13"/>
      <c r="G2" s="13"/>
      <c r="I2" s="18"/>
      <c r="J2" s="18"/>
      <c r="K2" s="18"/>
    </row>
    <row r="3" spans="1:11" ht="15" customHeight="1" x14ac:dyDescent="0.25">
      <c r="A3" s="12" t="s">
        <v>38</v>
      </c>
      <c r="B3" s="12"/>
      <c r="C3" s="12"/>
      <c r="D3" s="12"/>
      <c r="E3" s="12"/>
      <c r="F3" s="12"/>
      <c r="G3" s="12"/>
      <c r="I3" s="18"/>
      <c r="J3" s="18"/>
      <c r="K3" s="18"/>
    </row>
    <row r="4" spans="1:11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5" customHeight="1" x14ac:dyDescent="0.25">
      <c r="A5" s="11" t="s">
        <v>39</v>
      </c>
      <c r="B5" s="11"/>
      <c r="C5" s="11"/>
      <c r="D5" s="11"/>
      <c r="E5" s="11"/>
      <c r="F5" s="11"/>
      <c r="G5" s="11"/>
      <c r="H5" s="18"/>
      <c r="I5" s="18"/>
      <c r="J5" s="18"/>
      <c r="K5" s="18"/>
    </row>
    <row r="6" spans="1:11" ht="15" customHeight="1" x14ac:dyDescent="0.25">
      <c r="A6" s="19" t="s">
        <v>40</v>
      </c>
      <c r="B6" s="10"/>
      <c r="C6" s="10"/>
      <c r="D6" s="18"/>
      <c r="E6" s="19" t="s">
        <v>41</v>
      </c>
      <c r="F6" s="10"/>
      <c r="G6" s="10"/>
      <c r="H6" s="18"/>
      <c r="I6" s="18"/>
      <c r="J6" s="18"/>
      <c r="K6" s="18"/>
    </row>
    <row r="7" spans="1:11" ht="15" customHeight="1" x14ac:dyDescent="0.25">
      <c r="A7" s="19" t="s">
        <v>42</v>
      </c>
      <c r="B7" s="10"/>
      <c r="C7" s="10"/>
      <c r="D7" s="18"/>
      <c r="E7" s="19" t="s">
        <v>43</v>
      </c>
      <c r="F7" s="10"/>
      <c r="G7" s="10"/>
      <c r="H7" s="18"/>
      <c r="I7" s="18"/>
      <c r="J7" s="18"/>
      <c r="K7" s="18"/>
    </row>
    <row r="8" spans="1:11" ht="15" customHeight="1" x14ac:dyDescent="0.25">
      <c r="A8" s="19" t="s">
        <v>44</v>
      </c>
      <c r="B8" s="10"/>
      <c r="C8" s="10"/>
      <c r="D8" s="18"/>
      <c r="E8" s="19" t="s">
        <v>45</v>
      </c>
      <c r="F8" s="10"/>
      <c r="G8" s="10"/>
      <c r="H8" s="18"/>
      <c r="I8" s="18"/>
      <c r="J8" s="18"/>
      <c r="K8" s="18"/>
    </row>
    <row r="9" spans="1:11" ht="1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ht="32.25" customHeight="1" x14ac:dyDescent="0.25">
      <c r="A10" s="20" t="s">
        <v>46</v>
      </c>
      <c r="B10" s="9" t="s">
        <v>47</v>
      </c>
      <c r="C10" s="9"/>
      <c r="D10" s="18"/>
      <c r="E10" s="21" t="s">
        <v>48</v>
      </c>
      <c r="F10" s="18"/>
      <c r="G10" s="18"/>
      <c r="H10" s="18"/>
      <c r="I10" s="18"/>
      <c r="J10" s="18"/>
      <c r="K10" s="18"/>
    </row>
    <row r="11" spans="1:11" ht="32.25" customHeight="1" x14ac:dyDescent="0.25">
      <c r="A11" s="20" t="s">
        <v>49</v>
      </c>
      <c r="B11" s="9" t="s">
        <v>50</v>
      </c>
      <c r="C11" s="9"/>
      <c r="D11" s="18"/>
      <c r="E11" s="22" t="s">
        <v>51</v>
      </c>
      <c r="F11" s="18"/>
      <c r="G11" s="18"/>
      <c r="H11" s="18"/>
      <c r="I11" s="18"/>
      <c r="J11" s="18"/>
      <c r="K11" s="18"/>
    </row>
    <row r="12" spans="1:11" ht="15" customHeight="1" x14ac:dyDescent="0.25">
      <c r="A12" s="23" t="s">
        <v>52</v>
      </c>
      <c r="B12" s="23" t="s">
        <v>53</v>
      </c>
      <c r="C12" s="23" t="s">
        <v>54</v>
      </c>
      <c r="D12" s="23" t="s">
        <v>55</v>
      </c>
      <c r="E12" s="23" t="s">
        <v>56</v>
      </c>
      <c r="F12" s="23" t="s">
        <v>57</v>
      </c>
      <c r="G12" s="23" t="s">
        <v>58</v>
      </c>
      <c r="H12" s="18"/>
      <c r="I12" s="18"/>
      <c r="J12" s="18"/>
      <c r="K12" s="18"/>
    </row>
    <row r="13" spans="1:11" ht="15" customHeight="1" x14ac:dyDescent="0.25">
      <c r="A13" s="11" t="s">
        <v>59</v>
      </c>
      <c r="B13" s="11"/>
      <c r="C13" s="11"/>
      <c r="D13" s="11"/>
      <c r="E13" s="11"/>
      <c r="F13" s="11"/>
      <c r="G13" s="11"/>
      <c r="H13" s="18"/>
      <c r="I13" s="18"/>
      <c r="J13" s="18"/>
      <c r="K13" s="18"/>
    </row>
    <row r="14" spans="1:11" ht="15" customHeight="1" x14ac:dyDescent="0.25">
      <c r="A14" s="24" t="s">
        <v>60</v>
      </c>
      <c r="B14" s="25"/>
      <c r="C14" s="25"/>
      <c r="D14" s="25"/>
      <c r="E14" s="25"/>
      <c r="F14" s="25"/>
      <c r="G14" s="21" t="s">
        <v>61</v>
      </c>
      <c r="H14" s="18"/>
      <c r="I14" s="18"/>
      <c r="J14" s="18"/>
      <c r="K14" s="18"/>
    </row>
    <row r="15" spans="1:11" ht="15" customHeight="1" x14ac:dyDescent="0.25">
      <c r="A15" s="24" t="s">
        <v>62</v>
      </c>
      <c r="B15" s="25"/>
      <c r="C15" s="25"/>
      <c r="D15" s="25"/>
      <c r="E15" s="25"/>
      <c r="F15" s="25"/>
      <c r="G15" s="21" t="s">
        <v>63</v>
      </c>
      <c r="H15" s="18"/>
      <c r="I15" s="18"/>
      <c r="J15" s="18"/>
      <c r="K15" s="18"/>
    </row>
    <row r="16" spans="1:11" ht="15" customHeight="1" x14ac:dyDescent="0.25">
      <c r="A16" s="24" t="s">
        <v>64</v>
      </c>
      <c r="B16" s="25"/>
      <c r="C16" s="25"/>
      <c r="D16" s="25"/>
      <c r="E16" s="25"/>
      <c r="F16" s="25"/>
      <c r="G16" s="21" t="s">
        <v>65</v>
      </c>
      <c r="H16" s="18"/>
      <c r="I16" s="18"/>
      <c r="J16" s="18"/>
      <c r="K16" s="18"/>
    </row>
    <row r="17" spans="1:11" ht="15" customHeight="1" x14ac:dyDescent="0.25">
      <c r="A17" s="24" t="s">
        <v>66</v>
      </c>
      <c r="B17" s="25"/>
      <c r="C17" s="25"/>
      <c r="D17" s="25"/>
      <c r="E17" s="25"/>
      <c r="F17" s="25"/>
      <c r="G17" s="21" t="s">
        <v>67</v>
      </c>
      <c r="H17" s="18"/>
      <c r="I17" s="18"/>
      <c r="J17" s="18"/>
      <c r="K17" s="18"/>
    </row>
    <row r="18" spans="1:11" ht="15" customHeight="1" x14ac:dyDescent="0.25">
      <c r="A18" s="24" t="s">
        <v>68</v>
      </c>
      <c r="B18" s="25"/>
      <c r="C18" s="25"/>
      <c r="D18" s="25"/>
      <c r="E18" s="25"/>
      <c r="F18" s="25"/>
      <c r="G18" s="21" t="s">
        <v>69</v>
      </c>
      <c r="H18" s="18"/>
      <c r="I18" s="18"/>
      <c r="J18" s="18"/>
      <c r="K18" s="18"/>
    </row>
    <row r="19" spans="1:11" ht="15" customHeight="1" x14ac:dyDescent="0.25">
      <c r="A19" s="19" t="s">
        <v>70</v>
      </c>
      <c r="B19" s="26">
        <f>SUM(B14:B18)</f>
        <v>0</v>
      </c>
      <c r="C19" s="26">
        <f>SUM(C14:C18)</f>
        <v>0</v>
      </c>
      <c r="D19" s="26">
        <f>SUM(D14:D18)</f>
        <v>0</v>
      </c>
      <c r="E19" s="26">
        <f>SUM(E14:E18)</f>
        <v>0</v>
      </c>
      <c r="F19" s="26">
        <f>SUM(F14:F18)</f>
        <v>0</v>
      </c>
      <c r="G19" s="18"/>
      <c r="H19" s="18"/>
      <c r="I19" s="18"/>
      <c r="J19" s="18"/>
      <c r="K19" s="18"/>
    </row>
    <row r="20" spans="1:11" ht="1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5" customHeight="1" x14ac:dyDescent="0.25">
      <c r="A21" s="24" t="s">
        <v>71</v>
      </c>
      <c r="B21" s="25"/>
      <c r="C21" s="25"/>
      <c r="D21" s="25"/>
      <c r="E21" s="25"/>
      <c r="F21" s="25"/>
      <c r="G21" s="21" t="s">
        <v>72</v>
      </c>
      <c r="H21" s="18"/>
      <c r="I21" s="18"/>
      <c r="J21" s="18"/>
      <c r="K21" s="18"/>
    </row>
    <row r="22" spans="1:11" ht="15" customHeight="1" x14ac:dyDescent="0.25">
      <c r="A22" s="24" t="s">
        <v>73</v>
      </c>
      <c r="B22" s="25"/>
      <c r="C22" s="25"/>
      <c r="D22" s="25"/>
      <c r="E22" s="25"/>
      <c r="F22" s="25"/>
      <c r="G22" s="21" t="s">
        <v>74</v>
      </c>
      <c r="H22" s="18"/>
      <c r="I22" s="18"/>
      <c r="J22" s="18"/>
      <c r="K22" s="18"/>
    </row>
    <row r="23" spans="1:11" ht="15" customHeight="1" x14ac:dyDescent="0.25">
      <c r="A23" s="24" t="s">
        <v>75</v>
      </c>
      <c r="B23" s="25"/>
      <c r="C23" s="25"/>
      <c r="D23" s="25"/>
      <c r="E23" s="25"/>
      <c r="F23" s="25"/>
      <c r="G23" s="21" t="s">
        <v>76</v>
      </c>
      <c r="H23" s="18"/>
      <c r="I23" s="18"/>
      <c r="J23" s="18"/>
      <c r="K23" s="18"/>
    </row>
    <row r="24" spans="1:11" ht="15" customHeight="1" x14ac:dyDescent="0.25">
      <c r="A24" s="24" t="s">
        <v>77</v>
      </c>
      <c r="B24" s="25"/>
      <c r="C24" s="25"/>
      <c r="D24" s="25"/>
      <c r="E24" s="25"/>
      <c r="F24" s="25"/>
      <c r="G24" s="21" t="s">
        <v>78</v>
      </c>
      <c r="H24" s="18"/>
      <c r="I24" s="18"/>
      <c r="J24" s="18"/>
      <c r="K24" s="18"/>
    </row>
    <row r="25" spans="1:11" ht="15" customHeight="1" x14ac:dyDescent="0.25">
      <c r="A25" s="24" t="s">
        <v>79</v>
      </c>
      <c r="B25" s="25"/>
      <c r="C25" s="25"/>
      <c r="D25" s="25"/>
      <c r="E25" s="25"/>
      <c r="F25" s="25"/>
      <c r="G25" s="21" t="s">
        <v>80</v>
      </c>
      <c r="H25" s="18"/>
      <c r="I25" s="18"/>
      <c r="J25" s="18"/>
      <c r="K25" s="18"/>
    </row>
    <row r="26" spans="1:11" ht="15" customHeight="1" x14ac:dyDescent="0.25">
      <c r="A26" s="24" t="s">
        <v>81</v>
      </c>
      <c r="B26" s="25"/>
      <c r="C26" s="25"/>
      <c r="D26" s="25"/>
      <c r="E26" s="25"/>
      <c r="F26" s="25"/>
      <c r="G26" s="21" t="s">
        <v>82</v>
      </c>
      <c r="H26" s="18"/>
      <c r="I26" s="18"/>
      <c r="J26" s="18"/>
      <c r="K26" s="18"/>
    </row>
    <row r="27" spans="1:11" ht="15" customHeight="1" x14ac:dyDescent="0.25">
      <c r="A27" s="19" t="s">
        <v>83</v>
      </c>
      <c r="B27" s="26">
        <f>SUM(B21:B26)</f>
        <v>0</v>
      </c>
      <c r="C27" s="26">
        <f>SUM(C21:C26)</f>
        <v>0</v>
      </c>
      <c r="D27" s="26">
        <f>SUM(D21:D26)</f>
        <v>0</v>
      </c>
      <c r="E27" s="26">
        <f>SUM(E21:E26)</f>
        <v>0</v>
      </c>
      <c r="F27" s="26">
        <f>SUM(F21:F26)</f>
        <v>0</v>
      </c>
      <c r="G27" s="18"/>
      <c r="H27" s="18"/>
      <c r="I27" s="18"/>
      <c r="J27" s="18"/>
      <c r="K27" s="18"/>
    </row>
    <row r="28" spans="1:11" ht="15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ht="15" customHeight="1" x14ac:dyDescent="0.25">
      <c r="A29" s="19" t="s">
        <v>84</v>
      </c>
      <c r="B29" s="26">
        <f>B19+B27</f>
        <v>0</v>
      </c>
      <c r="C29" s="26">
        <f>C19+C27</f>
        <v>0</v>
      </c>
      <c r="D29" s="26">
        <f>D19+D27</f>
        <v>0</v>
      </c>
      <c r="E29" s="26">
        <f>E19+E27</f>
        <v>0</v>
      </c>
      <c r="F29" s="26">
        <f>F19+F27</f>
        <v>0</v>
      </c>
      <c r="G29" s="18"/>
      <c r="H29" s="18"/>
      <c r="I29" s="18"/>
      <c r="J29" s="18"/>
      <c r="K29" s="18"/>
    </row>
    <row r="30" spans="1:11" ht="1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1" ht="15" customHeight="1" x14ac:dyDescent="0.25">
      <c r="A31" s="11" t="s">
        <v>85</v>
      </c>
      <c r="B31" s="11"/>
      <c r="C31" s="11"/>
      <c r="D31" s="11"/>
      <c r="E31" s="11"/>
      <c r="F31" s="11"/>
      <c r="G31" s="11"/>
      <c r="H31" s="18"/>
      <c r="I31" s="18"/>
      <c r="J31" s="18"/>
      <c r="K31" s="18"/>
    </row>
    <row r="32" spans="1:11" ht="15" customHeight="1" x14ac:dyDescent="0.25">
      <c r="A32" s="24" t="s">
        <v>86</v>
      </c>
      <c r="B32" s="25"/>
      <c r="C32" s="25"/>
      <c r="D32" s="25"/>
      <c r="E32" s="25"/>
      <c r="F32" s="25"/>
      <c r="G32" s="21" t="s">
        <v>87</v>
      </c>
      <c r="H32" s="18"/>
      <c r="I32" s="18"/>
      <c r="J32" s="18"/>
      <c r="K32" s="18"/>
    </row>
    <row r="33" spans="1:11" ht="15" customHeight="1" x14ac:dyDescent="0.25">
      <c r="A33" s="24" t="s">
        <v>88</v>
      </c>
      <c r="B33" s="25"/>
      <c r="C33" s="25"/>
      <c r="D33" s="25"/>
      <c r="E33" s="25"/>
      <c r="F33" s="25"/>
      <c r="G33" s="21" t="s">
        <v>89</v>
      </c>
      <c r="H33" s="18"/>
      <c r="I33" s="18"/>
      <c r="J33" s="18"/>
      <c r="K33" s="18"/>
    </row>
    <row r="34" spans="1:11" ht="15" customHeight="1" x14ac:dyDescent="0.25">
      <c r="A34" s="24" t="s">
        <v>90</v>
      </c>
      <c r="B34" s="25"/>
      <c r="C34" s="25"/>
      <c r="D34" s="25"/>
      <c r="E34" s="25"/>
      <c r="F34" s="25"/>
      <c r="G34" s="21" t="s">
        <v>91</v>
      </c>
      <c r="H34" s="18"/>
      <c r="I34" s="18"/>
      <c r="J34" s="18"/>
      <c r="K34" s="18"/>
    </row>
    <row r="35" spans="1:11" ht="15" customHeight="1" x14ac:dyDescent="0.25">
      <c r="A35" s="24" t="s">
        <v>92</v>
      </c>
      <c r="B35" s="25"/>
      <c r="C35" s="25"/>
      <c r="D35" s="25"/>
      <c r="E35" s="25"/>
      <c r="F35" s="25"/>
      <c r="G35" s="21" t="s">
        <v>93</v>
      </c>
      <c r="H35" s="18"/>
      <c r="I35" s="18"/>
      <c r="J35" s="18"/>
      <c r="K35" s="18"/>
    </row>
    <row r="36" spans="1:11" ht="15" customHeight="1" x14ac:dyDescent="0.25">
      <c r="A36" s="24" t="s">
        <v>94</v>
      </c>
      <c r="B36" s="25"/>
      <c r="C36" s="25"/>
      <c r="D36" s="25"/>
      <c r="E36" s="25"/>
      <c r="F36" s="25"/>
      <c r="G36" s="21" t="s">
        <v>95</v>
      </c>
      <c r="H36" s="18"/>
      <c r="I36" s="18"/>
      <c r="J36" s="18"/>
      <c r="K36" s="18"/>
    </row>
    <row r="37" spans="1:11" ht="15" customHeight="1" x14ac:dyDescent="0.25">
      <c r="A37" s="19" t="s">
        <v>96</v>
      </c>
      <c r="B37" s="26">
        <f>SUM(B32:B36)</f>
        <v>0</v>
      </c>
      <c r="C37" s="26">
        <f>SUM(C32:C36)</f>
        <v>0</v>
      </c>
      <c r="D37" s="26">
        <f>SUM(D32:D36)</f>
        <v>0</v>
      </c>
      <c r="E37" s="26">
        <f>SUM(E32:E36)</f>
        <v>0</v>
      </c>
      <c r="F37" s="26">
        <f>SUM(F32:F36)</f>
        <v>0</v>
      </c>
      <c r="G37" s="18"/>
      <c r="H37" s="18"/>
      <c r="I37" s="18"/>
      <c r="J37" s="18"/>
      <c r="K37" s="18"/>
    </row>
    <row r="38" spans="1:11" ht="15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1" ht="15" customHeight="1" x14ac:dyDescent="0.25">
      <c r="A39" s="24" t="s">
        <v>97</v>
      </c>
      <c r="B39" s="25"/>
      <c r="C39" s="25"/>
      <c r="D39" s="25"/>
      <c r="E39" s="25"/>
      <c r="F39" s="25"/>
      <c r="G39" s="21" t="s">
        <v>98</v>
      </c>
      <c r="H39" s="18"/>
      <c r="I39" s="18"/>
      <c r="J39" s="18"/>
      <c r="K39" s="18"/>
    </row>
    <row r="40" spans="1:11" ht="15" customHeight="1" x14ac:dyDescent="0.25">
      <c r="A40" s="24" t="s">
        <v>99</v>
      </c>
      <c r="B40" s="25"/>
      <c r="C40" s="25"/>
      <c r="D40" s="25"/>
      <c r="E40" s="25"/>
      <c r="F40" s="25"/>
      <c r="G40" s="21" t="s">
        <v>100</v>
      </c>
      <c r="H40" s="18"/>
      <c r="I40" s="18"/>
      <c r="J40" s="18"/>
      <c r="K40" s="18"/>
    </row>
    <row r="41" spans="1:11" ht="15" customHeight="1" x14ac:dyDescent="0.25">
      <c r="A41" s="24" t="s">
        <v>101</v>
      </c>
      <c r="B41" s="25"/>
      <c r="C41" s="25"/>
      <c r="D41" s="25"/>
      <c r="E41" s="25"/>
      <c r="F41" s="25"/>
      <c r="G41" s="21" t="s">
        <v>102</v>
      </c>
      <c r="H41" s="18"/>
      <c r="I41" s="18"/>
      <c r="J41" s="18"/>
      <c r="K41" s="18"/>
    </row>
    <row r="42" spans="1:11" ht="15" customHeight="1" x14ac:dyDescent="0.25">
      <c r="A42" s="19" t="s">
        <v>103</v>
      </c>
      <c r="B42" s="26">
        <f>SUM(B39:B41)</f>
        <v>0</v>
      </c>
      <c r="C42" s="26">
        <f>SUM(C39:C41)</f>
        <v>0</v>
      </c>
      <c r="D42" s="26">
        <f>SUM(D39:D41)</f>
        <v>0</v>
      </c>
      <c r="E42" s="26">
        <f>SUM(E39:E41)</f>
        <v>0</v>
      </c>
      <c r="F42" s="26">
        <f>SUM(F39:F41)</f>
        <v>0</v>
      </c>
      <c r="G42" s="18"/>
      <c r="H42" s="18"/>
      <c r="I42" s="18"/>
      <c r="J42" s="18"/>
      <c r="K42" s="18"/>
    </row>
    <row r="43" spans="1:11" ht="15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1" ht="15" customHeight="1" x14ac:dyDescent="0.25">
      <c r="A44" s="24" t="s">
        <v>104</v>
      </c>
      <c r="B44" s="25"/>
      <c r="C44" s="25"/>
      <c r="D44" s="25"/>
      <c r="E44" s="25"/>
      <c r="F44" s="25"/>
      <c r="G44" s="21" t="s">
        <v>105</v>
      </c>
      <c r="H44" s="18"/>
      <c r="I44" s="18"/>
      <c r="J44" s="18"/>
      <c r="K44" s="18"/>
    </row>
    <row r="45" spans="1:11" ht="15" customHeight="1" x14ac:dyDescent="0.25">
      <c r="A45" s="24" t="s">
        <v>106</v>
      </c>
      <c r="B45" s="25"/>
      <c r="C45" s="25"/>
      <c r="D45" s="25"/>
      <c r="E45" s="25"/>
      <c r="F45" s="25"/>
      <c r="G45" s="21" t="s">
        <v>107</v>
      </c>
      <c r="H45" s="18"/>
      <c r="I45" s="18"/>
      <c r="J45" s="18"/>
      <c r="K45" s="18"/>
    </row>
    <row r="46" spans="1:11" ht="15" customHeight="1" x14ac:dyDescent="0.25">
      <c r="A46" s="24" t="s">
        <v>108</v>
      </c>
      <c r="B46" s="25"/>
      <c r="C46" s="25"/>
      <c r="D46" s="25"/>
      <c r="E46" s="25"/>
      <c r="F46" s="25"/>
      <c r="G46" s="21" t="s">
        <v>109</v>
      </c>
      <c r="H46" s="18"/>
      <c r="I46" s="18"/>
      <c r="J46" s="18"/>
      <c r="K46" s="18"/>
    </row>
    <row r="47" spans="1:11" ht="15" customHeight="1" x14ac:dyDescent="0.25">
      <c r="A47" s="19" t="s">
        <v>110</v>
      </c>
      <c r="B47" s="26">
        <f>SUM(B44:B46)</f>
        <v>0</v>
      </c>
      <c r="C47" s="26">
        <f>SUM(C44:C46)</f>
        <v>0</v>
      </c>
      <c r="D47" s="26">
        <f>SUM(D44:D46)</f>
        <v>0</v>
      </c>
      <c r="E47" s="26">
        <f>SUM(E44:E46)</f>
        <v>0</v>
      </c>
      <c r="F47" s="26">
        <f>SUM(F44:F46)</f>
        <v>0</v>
      </c>
      <c r="G47" s="18"/>
      <c r="H47" s="18"/>
      <c r="I47" s="18"/>
      <c r="J47" s="18"/>
      <c r="K47" s="18"/>
    </row>
    <row r="48" spans="1:11" ht="1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ht="15" customHeight="1" x14ac:dyDescent="0.25">
      <c r="A49" s="19" t="s">
        <v>111</v>
      </c>
      <c r="B49" s="26">
        <f>B37+B42+B47</f>
        <v>0</v>
      </c>
      <c r="C49" s="26">
        <f>C37+C42+C47</f>
        <v>0</v>
      </c>
      <c r="D49" s="26">
        <f>D37+D42+D47</f>
        <v>0</v>
      </c>
      <c r="E49" s="26">
        <f>E37+E42+E47</f>
        <v>0</v>
      </c>
      <c r="F49" s="26">
        <f>F37+F42+F47</f>
        <v>0</v>
      </c>
      <c r="G49" s="18"/>
      <c r="H49" s="18"/>
      <c r="I49" s="18"/>
      <c r="J49" s="18"/>
      <c r="K49" s="18"/>
    </row>
    <row r="50" spans="1:11" ht="1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ht="15" customHeight="1" x14ac:dyDescent="0.25">
      <c r="A51" s="27" t="s">
        <v>112</v>
      </c>
      <c r="B51" s="28" t="str">
        <f>IF(ABS(B29-B49)&lt;0.01,"✅ Balanced","🔴 Mismatch: "&amp;TEXT(B29-B49,"#,##0.00"))</f>
        <v>✅ Balanced</v>
      </c>
      <c r="C51" s="28" t="str">
        <f>IF(ABS(C29-C49)&lt;0.01,"✅ Balanced","🔴 Mismatch: "&amp;TEXT(C29-C49,"#,##0.00"))</f>
        <v>✅ Balanced</v>
      </c>
      <c r="D51" s="28" t="str">
        <f>IF(ABS(D29-D49)&lt;0.01,"✅ Balanced","🔴 Mismatch: "&amp;TEXT(D29-D49,"#,##0.00"))</f>
        <v>✅ Balanced</v>
      </c>
      <c r="E51" s="28" t="str">
        <f>IF(ABS(E29-E49)&lt;0.01,"✅ Balanced","🔴 Mismatch: "&amp;TEXT(E29-E49,"#,##0.00"))</f>
        <v>✅ Balanced</v>
      </c>
      <c r="F51" s="28" t="str">
        <f>IF(ABS(F29-F49)&lt;0.01,"✅ Balanced","🔴 Mismatch: "&amp;TEXT(F29-F49,"#,##0.00"))</f>
        <v>✅ Balanced</v>
      </c>
      <c r="H51" s="18"/>
      <c r="I51" s="18"/>
      <c r="J51" s="18"/>
      <c r="K51" s="18"/>
    </row>
    <row r="52" spans="1:11" ht="1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 ht="15" customHeight="1" x14ac:dyDescent="0.25">
      <c r="A53" s="11" t="s">
        <v>113</v>
      </c>
      <c r="B53" s="11"/>
      <c r="C53" s="11"/>
      <c r="D53" s="11"/>
      <c r="E53" s="11"/>
      <c r="F53" s="11"/>
      <c r="G53" s="11"/>
      <c r="H53" s="18"/>
      <c r="I53" s="18"/>
      <c r="J53" s="18"/>
      <c r="K53" s="18"/>
    </row>
    <row r="54" spans="1:11" ht="15" customHeight="1" x14ac:dyDescent="0.25">
      <c r="A54" s="24" t="s">
        <v>114</v>
      </c>
      <c r="B54" s="25"/>
      <c r="C54" s="25"/>
      <c r="D54" s="25"/>
      <c r="E54" s="25"/>
      <c r="F54" s="25"/>
      <c r="G54" s="21" t="s">
        <v>115</v>
      </c>
      <c r="H54" s="18"/>
      <c r="I54" s="18"/>
      <c r="J54" s="18"/>
      <c r="K54" s="18"/>
    </row>
    <row r="55" spans="1:11" ht="15" customHeight="1" x14ac:dyDescent="0.25">
      <c r="A55" s="24" t="s">
        <v>116</v>
      </c>
      <c r="B55" s="25"/>
      <c r="C55" s="25"/>
      <c r="D55" s="25"/>
      <c r="E55" s="25"/>
      <c r="F55" s="25"/>
      <c r="G55" s="21" t="s">
        <v>117</v>
      </c>
      <c r="H55" s="18"/>
      <c r="I55" s="18"/>
      <c r="J55" s="18"/>
      <c r="K55" s="18"/>
    </row>
    <row r="56" spans="1:11" ht="15" customHeight="1" x14ac:dyDescent="0.25">
      <c r="A56" s="19" t="s">
        <v>118</v>
      </c>
      <c r="B56" s="26">
        <f>B54+B55</f>
        <v>0</v>
      </c>
      <c r="C56" s="26">
        <f>C54+C55</f>
        <v>0</v>
      </c>
      <c r="D56" s="26">
        <f>D54+D55</f>
        <v>0</v>
      </c>
      <c r="E56" s="26">
        <f>E54+E55</f>
        <v>0</v>
      </c>
      <c r="F56" s="26">
        <f>F54+F55</f>
        <v>0</v>
      </c>
      <c r="G56" s="29" t="str">
        <f>IFERROR("YoY: "&amp;TEXT((F56-E56)/E56,"0.0%"),"YoY: N/A")</f>
        <v>YoY: N/A</v>
      </c>
      <c r="H56" s="18"/>
      <c r="I56" s="18"/>
      <c r="J56" s="18"/>
      <c r="K56" s="18"/>
    </row>
    <row r="57" spans="1:11" ht="1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1:11" ht="15" customHeight="1" x14ac:dyDescent="0.25">
      <c r="A58" s="24" t="s">
        <v>119</v>
      </c>
      <c r="B58" s="25"/>
      <c r="C58" s="25"/>
      <c r="D58" s="25"/>
      <c r="E58" s="25"/>
      <c r="F58" s="25"/>
      <c r="G58" s="21" t="s">
        <v>120</v>
      </c>
      <c r="H58" s="18"/>
      <c r="I58" s="18"/>
      <c r="J58" s="18"/>
      <c r="K58" s="18"/>
    </row>
    <row r="59" spans="1:11" ht="15" customHeight="1" x14ac:dyDescent="0.25">
      <c r="A59" s="24" t="s">
        <v>121</v>
      </c>
      <c r="B59" s="25"/>
      <c r="C59" s="25"/>
      <c r="D59" s="25"/>
      <c r="E59" s="25"/>
      <c r="F59" s="25"/>
      <c r="G59" s="21" t="s">
        <v>122</v>
      </c>
      <c r="H59" s="18"/>
      <c r="I59" s="18"/>
      <c r="J59" s="18"/>
      <c r="K59" s="18"/>
    </row>
    <row r="60" spans="1:11" ht="15" customHeight="1" x14ac:dyDescent="0.25">
      <c r="A60" s="24" t="s">
        <v>123</v>
      </c>
      <c r="B60" s="25"/>
      <c r="C60" s="25"/>
      <c r="D60" s="25"/>
      <c r="E60" s="25"/>
      <c r="F60" s="25"/>
      <c r="G60" s="21" t="s">
        <v>124</v>
      </c>
      <c r="H60" s="18"/>
      <c r="I60" s="18"/>
      <c r="J60" s="18"/>
      <c r="K60" s="18"/>
    </row>
    <row r="61" spans="1:11" ht="15" customHeight="1" x14ac:dyDescent="0.25">
      <c r="A61" s="24" t="s">
        <v>125</v>
      </c>
      <c r="B61" s="25"/>
      <c r="C61" s="25"/>
      <c r="D61" s="25"/>
      <c r="E61" s="25"/>
      <c r="F61" s="25"/>
      <c r="G61" s="21" t="s">
        <v>126</v>
      </c>
      <c r="H61" s="18"/>
      <c r="I61" s="18"/>
      <c r="J61" s="18"/>
      <c r="K61" s="18"/>
    </row>
    <row r="62" spans="1:11" ht="15" customHeight="1" x14ac:dyDescent="0.25">
      <c r="A62" s="24" t="s">
        <v>127</v>
      </c>
      <c r="B62" s="25"/>
      <c r="C62" s="25"/>
      <c r="D62" s="25"/>
      <c r="E62" s="25"/>
      <c r="F62" s="25"/>
      <c r="G62" s="21" t="s">
        <v>128</v>
      </c>
      <c r="H62" s="18"/>
      <c r="I62" s="18"/>
      <c r="J62" s="18"/>
      <c r="K62" s="18"/>
    </row>
    <row r="63" spans="1:11" ht="15" customHeight="1" x14ac:dyDescent="0.25">
      <c r="A63" s="24" t="s">
        <v>129</v>
      </c>
      <c r="B63" s="25"/>
      <c r="C63" s="25"/>
      <c r="D63" s="25"/>
      <c r="E63" s="25"/>
      <c r="F63" s="25"/>
      <c r="G63" s="21" t="s">
        <v>130</v>
      </c>
      <c r="H63" s="18"/>
      <c r="I63" s="18"/>
      <c r="J63" s="18"/>
      <c r="K63" s="18"/>
    </row>
    <row r="64" spans="1:11" ht="15" customHeight="1" x14ac:dyDescent="0.25">
      <c r="A64" s="19" t="s">
        <v>131</v>
      </c>
      <c r="B64" s="26">
        <f>SUM(B58:B63)</f>
        <v>0</v>
      </c>
      <c r="C64" s="26">
        <f>SUM(C58:C63)</f>
        <v>0</v>
      </c>
      <c r="D64" s="26">
        <f>SUM(D58:D63)</f>
        <v>0</v>
      </c>
      <c r="E64" s="26">
        <f>SUM(E58:E63)</f>
        <v>0</v>
      </c>
      <c r="F64" s="26">
        <f>SUM(F58:F63)</f>
        <v>0</v>
      </c>
      <c r="G64" s="29" t="str">
        <f>IFERROR("YoY: "&amp;TEXT((F64-E64)/E64,"0.0%"),"YoY: N/A")</f>
        <v>YoY: N/A</v>
      </c>
      <c r="H64" s="18"/>
      <c r="I64" s="18"/>
      <c r="J64" s="18"/>
      <c r="K64" s="18"/>
    </row>
    <row r="65" spans="1:11" ht="1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1:11" ht="15" customHeight="1" x14ac:dyDescent="0.25">
      <c r="A66" s="19" t="s">
        <v>132</v>
      </c>
      <c r="B66" s="26">
        <f>B56-B64</f>
        <v>0</v>
      </c>
      <c r="C66" s="26">
        <f>C56-C64</f>
        <v>0</v>
      </c>
      <c r="D66" s="26">
        <f>D56-D64</f>
        <v>0</v>
      </c>
      <c r="E66" s="26">
        <f>E56-E64</f>
        <v>0</v>
      </c>
      <c r="F66" s="26">
        <f>F56-F64</f>
        <v>0</v>
      </c>
      <c r="G66" s="18"/>
      <c r="H66" s="18"/>
      <c r="I66" s="18"/>
      <c r="J66" s="18"/>
      <c r="K66" s="18"/>
    </row>
    <row r="67" spans="1:11" ht="15" customHeight="1" x14ac:dyDescent="0.25">
      <c r="A67" s="24" t="s">
        <v>133</v>
      </c>
      <c r="B67" s="25"/>
      <c r="C67" s="25"/>
      <c r="D67" s="25"/>
      <c r="E67" s="25"/>
      <c r="F67" s="25"/>
      <c r="G67" s="21" t="s">
        <v>134</v>
      </c>
      <c r="H67" s="18"/>
      <c r="I67" s="18"/>
      <c r="J67" s="18"/>
      <c r="K67" s="18"/>
    </row>
    <row r="68" spans="1:11" ht="15" customHeight="1" x14ac:dyDescent="0.25">
      <c r="A68" s="19" t="s">
        <v>135</v>
      </c>
      <c r="B68" s="26">
        <f>B66+B67</f>
        <v>0</v>
      </c>
      <c r="C68" s="26">
        <f>C66+C67</f>
        <v>0</v>
      </c>
      <c r="D68" s="26">
        <f>D66+D67</f>
        <v>0</v>
      </c>
      <c r="E68" s="26">
        <f>E66+E67</f>
        <v>0</v>
      </c>
      <c r="F68" s="26">
        <f>F66+F67</f>
        <v>0</v>
      </c>
      <c r="G68" s="18"/>
      <c r="H68" s="18"/>
      <c r="I68" s="18"/>
      <c r="J68" s="18"/>
      <c r="K68" s="18"/>
    </row>
    <row r="69" spans="1:11" ht="15" customHeight="1" x14ac:dyDescent="0.25">
      <c r="A69" s="24" t="s">
        <v>136</v>
      </c>
      <c r="B69" s="25"/>
      <c r="C69" s="25"/>
      <c r="D69" s="25"/>
      <c r="E69" s="25"/>
      <c r="F69" s="25"/>
      <c r="G69" s="21" t="s">
        <v>137</v>
      </c>
      <c r="H69" s="18"/>
      <c r="I69" s="18"/>
      <c r="J69" s="18"/>
      <c r="K69" s="18"/>
    </row>
    <row r="70" spans="1:11" ht="15" customHeight="1" x14ac:dyDescent="0.25">
      <c r="A70" s="19" t="s">
        <v>138</v>
      </c>
      <c r="B70" s="26">
        <f>B68-B69</f>
        <v>0</v>
      </c>
      <c r="C70" s="26">
        <f>C68-C69</f>
        <v>0</v>
      </c>
      <c r="D70" s="26">
        <f>D68-D69</f>
        <v>0</v>
      </c>
      <c r="E70" s="26">
        <f>E68-E69</f>
        <v>0</v>
      </c>
      <c r="F70" s="26">
        <f>F68-F69</f>
        <v>0</v>
      </c>
      <c r="G70" s="29" t="str">
        <f>IFERROR("YoY: "&amp;TEXT((F70-E70)/E70,"0.0%"),"YoY: N/A")</f>
        <v>YoY: N/A</v>
      </c>
      <c r="H70" s="18"/>
      <c r="I70" s="18"/>
      <c r="J70" s="18"/>
      <c r="K70" s="18"/>
    </row>
    <row r="71" spans="1:11" ht="1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</row>
    <row r="72" spans="1:11" ht="15" customHeight="1" x14ac:dyDescent="0.25">
      <c r="A72" s="24" t="s">
        <v>139</v>
      </c>
      <c r="B72" s="25"/>
      <c r="C72" s="25"/>
      <c r="D72" s="25"/>
      <c r="E72" s="25"/>
      <c r="F72" s="25"/>
      <c r="G72" s="21" t="s">
        <v>140</v>
      </c>
      <c r="H72" s="18"/>
      <c r="I72" s="18"/>
      <c r="J72" s="18"/>
      <c r="K72" s="18"/>
    </row>
    <row r="73" spans="1:11" ht="15" customHeight="1" x14ac:dyDescent="0.25">
      <c r="A73" s="19" t="s">
        <v>141</v>
      </c>
      <c r="B73" s="26">
        <f>B70+B72</f>
        <v>0</v>
      </c>
      <c r="C73" s="26">
        <f>C70+C72</f>
        <v>0</v>
      </c>
      <c r="D73" s="26">
        <f>D70+D72</f>
        <v>0</v>
      </c>
      <c r="E73" s="26">
        <f>E70+E72</f>
        <v>0</v>
      </c>
      <c r="F73" s="26">
        <f>F70+F72</f>
        <v>0</v>
      </c>
      <c r="G73" s="18"/>
      <c r="H73" s="18"/>
      <c r="I73" s="18"/>
      <c r="J73" s="18"/>
      <c r="K73" s="18"/>
    </row>
    <row r="74" spans="1:11" ht="1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</row>
    <row r="75" spans="1:11" ht="15" customHeight="1" x14ac:dyDescent="0.25">
      <c r="A75" s="24" t="s">
        <v>142</v>
      </c>
      <c r="B75" s="30"/>
      <c r="C75" s="30"/>
      <c r="D75" s="30"/>
      <c r="E75" s="30"/>
      <c r="F75" s="30"/>
      <c r="G75" s="21" t="s">
        <v>143</v>
      </c>
      <c r="H75" s="18"/>
      <c r="I75" s="18"/>
      <c r="J75" s="18"/>
      <c r="K75" s="18"/>
    </row>
    <row r="76" spans="1:11" ht="15" customHeight="1" x14ac:dyDescent="0.25">
      <c r="A76" s="24" t="s">
        <v>144</v>
      </c>
      <c r="B76" s="30"/>
      <c r="C76" s="30"/>
      <c r="D76" s="30"/>
      <c r="E76" s="30"/>
      <c r="F76" s="30"/>
      <c r="G76" s="21" t="s">
        <v>145</v>
      </c>
      <c r="H76" s="18"/>
      <c r="I76" s="18"/>
      <c r="J76" s="18"/>
      <c r="K76" s="18"/>
    </row>
    <row r="77" spans="1:11" ht="15" customHeight="1" x14ac:dyDescent="0.25">
      <c r="A77" s="24" t="s">
        <v>146</v>
      </c>
      <c r="B77" s="30"/>
      <c r="C77" s="30"/>
      <c r="D77" s="30"/>
      <c r="E77" s="30"/>
      <c r="F77" s="30"/>
      <c r="G77" s="21" t="s">
        <v>147</v>
      </c>
      <c r="H77" s="18"/>
      <c r="I77" s="18"/>
      <c r="J77" s="18"/>
      <c r="K77" s="18"/>
    </row>
    <row r="78" spans="1:11" ht="15" customHeight="1" x14ac:dyDescent="0.25">
      <c r="A78" s="24" t="s">
        <v>148</v>
      </c>
      <c r="B78" s="25"/>
      <c r="C78" s="25"/>
      <c r="D78" s="25"/>
      <c r="E78" s="25"/>
      <c r="F78" s="25"/>
      <c r="G78" s="21" t="s">
        <v>149</v>
      </c>
      <c r="H78" s="18"/>
      <c r="I78" s="18"/>
      <c r="J78" s="18"/>
      <c r="K78" s="18"/>
    </row>
    <row r="79" spans="1:11" ht="1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</row>
    <row r="80" spans="1:11" ht="1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</row>
    <row r="81" spans="1:11" ht="15" customHeight="1" x14ac:dyDescent="0.25">
      <c r="A81" s="11" t="s">
        <v>150</v>
      </c>
      <c r="B81" s="11"/>
      <c r="C81" s="11"/>
      <c r="D81" s="11"/>
      <c r="E81" s="11"/>
      <c r="F81" s="11"/>
      <c r="G81" s="11"/>
      <c r="H81" s="18"/>
      <c r="I81" s="18"/>
      <c r="J81" s="18"/>
      <c r="K81" s="18"/>
    </row>
    <row r="82" spans="1:11" ht="15" customHeight="1" x14ac:dyDescent="0.25">
      <c r="A82" s="24" t="s">
        <v>151</v>
      </c>
      <c r="B82" s="25"/>
      <c r="C82" s="25"/>
      <c r="D82" s="25"/>
      <c r="E82" s="25"/>
      <c r="F82" s="25"/>
      <c r="G82" s="21" t="s">
        <v>152</v>
      </c>
      <c r="H82" s="18"/>
      <c r="I82" s="18"/>
      <c r="J82" s="18"/>
      <c r="K82" s="18"/>
    </row>
    <row r="83" spans="1:11" ht="15" customHeight="1" x14ac:dyDescent="0.25">
      <c r="A83" s="24" t="s">
        <v>153</v>
      </c>
      <c r="B83" s="25"/>
      <c r="C83" s="25"/>
      <c r="D83" s="25"/>
      <c r="E83" s="25"/>
      <c r="F83" s="25"/>
      <c r="G83" s="21" t="s">
        <v>154</v>
      </c>
      <c r="H83" s="18"/>
      <c r="I83" s="18"/>
      <c r="J83" s="18"/>
      <c r="K83" s="18"/>
    </row>
    <row r="84" spans="1:11" ht="15" customHeight="1" x14ac:dyDescent="0.25">
      <c r="A84" s="24" t="s">
        <v>155</v>
      </c>
      <c r="B84" s="25"/>
      <c r="C84" s="25"/>
      <c r="D84" s="25"/>
      <c r="E84" s="25"/>
      <c r="F84" s="25"/>
      <c r="G84" s="21" t="s">
        <v>156</v>
      </c>
      <c r="H84" s="18"/>
      <c r="I84" s="18"/>
      <c r="J84" s="18"/>
      <c r="K84" s="18"/>
    </row>
    <row r="85" spans="1:11" ht="15" customHeight="1" x14ac:dyDescent="0.25">
      <c r="A85" s="19" t="s">
        <v>157</v>
      </c>
      <c r="B85" s="26">
        <f>B82+B83+B84</f>
        <v>0</v>
      </c>
      <c r="C85" s="26">
        <f>C82+C83+C84</f>
        <v>0</v>
      </c>
      <c r="D85" s="26">
        <f>D82+D83+D84</f>
        <v>0</v>
      </c>
      <c r="E85" s="26">
        <f>E82+E83+E84</f>
        <v>0</v>
      </c>
      <c r="F85" s="26">
        <f>F82+F83+F84</f>
        <v>0</v>
      </c>
      <c r="G85" s="18"/>
      <c r="H85" s="18"/>
      <c r="I85" s="18"/>
      <c r="J85" s="18"/>
      <c r="K85" s="18"/>
    </row>
    <row r="86" spans="1:11" ht="1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</row>
    <row r="87" spans="1:11" ht="15" customHeight="1" x14ac:dyDescent="0.25">
      <c r="A87" s="24" t="s">
        <v>158</v>
      </c>
      <c r="B87" s="25"/>
      <c r="C87" s="25"/>
      <c r="D87" s="25"/>
      <c r="E87" s="25"/>
      <c r="F87" s="25"/>
      <c r="G87" s="21" t="s">
        <v>159</v>
      </c>
      <c r="H87" s="18"/>
      <c r="I87" s="18"/>
      <c r="J87" s="18"/>
      <c r="K87" s="18"/>
    </row>
    <row r="88" spans="1:11" ht="15" customHeight="1" x14ac:dyDescent="0.25">
      <c r="A88" s="19" t="s">
        <v>160</v>
      </c>
      <c r="B88" s="26">
        <f>B82-B87</f>
        <v>0</v>
      </c>
      <c r="C88" s="26">
        <f>C82-C87</f>
        <v>0</v>
      </c>
      <c r="D88" s="26">
        <f>D82-D87</f>
        <v>0</v>
      </c>
      <c r="E88" s="26">
        <f>E82-E87</f>
        <v>0</v>
      </c>
      <c r="F88" s="26">
        <f>F82-F87</f>
        <v>0</v>
      </c>
      <c r="G88" s="18"/>
      <c r="H88" s="18"/>
      <c r="I88" s="18"/>
      <c r="J88" s="18"/>
      <c r="K88" s="18"/>
    </row>
    <row r="89" spans="1:11" ht="1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</row>
    <row r="90" spans="1:11" ht="1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</row>
    <row r="91" spans="1:11" ht="15" customHeight="1" x14ac:dyDescent="0.25">
      <c r="A91" s="11" t="s">
        <v>161</v>
      </c>
      <c r="B91" s="11"/>
      <c r="C91" s="11"/>
      <c r="D91" s="11"/>
      <c r="E91" s="11"/>
      <c r="F91" s="11"/>
      <c r="G91" s="11"/>
      <c r="H91" s="18"/>
      <c r="I91" s="18"/>
      <c r="J91" s="18"/>
      <c r="K91" s="18"/>
    </row>
    <row r="92" spans="1:11" ht="15" customHeight="1" x14ac:dyDescent="0.25">
      <c r="A92" s="24" t="s">
        <v>162</v>
      </c>
      <c r="B92" s="30"/>
      <c r="C92" s="30"/>
      <c r="D92" s="30"/>
      <c r="E92" s="30"/>
      <c r="F92" s="30"/>
      <c r="G92" s="21" t="s">
        <v>163</v>
      </c>
      <c r="H92" s="18"/>
      <c r="I92" s="18"/>
      <c r="J92" s="18"/>
      <c r="K92" s="18"/>
    </row>
    <row r="93" spans="1:11" ht="15" customHeight="1" x14ac:dyDescent="0.25">
      <c r="A93" s="24" t="s">
        <v>164</v>
      </c>
      <c r="B93" s="30"/>
      <c r="C93" s="30"/>
      <c r="D93" s="30"/>
      <c r="E93" s="30"/>
      <c r="F93" s="30"/>
      <c r="G93" s="31" t="s">
        <v>165</v>
      </c>
      <c r="H93" s="18"/>
      <c r="I93" s="18"/>
      <c r="J93" s="18"/>
      <c r="K93" s="18"/>
    </row>
    <row r="94" spans="1:11" ht="15" customHeight="1" x14ac:dyDescent="0.25">
      <c r="A94" s="24" t="s">
        <v>166</v>
      </c>
      <c r="B94" s="30"/>
      <c r="C94" s="30"/>
      <c r="D94" s="30"/>
      <c r="E94" s="30"/>
      <c r="F94" s="30"/>
      <c r="G94" s="31" t="s">
        <v>167</v>
      </c>
      <c r="H94" s="18"/>
      <c r="I94" s="18"/>
      <c r="J94" s="18"/>
      <c r="K94" s="18"/>
    </row>
    <row r="95" spans="1:11" ht="15" customHeight="1" x14ac:dyDescent="0.25">
      <c r="A95" s="24" t="s">
        <v>168</v>
      </c>
      <c r="B95" s="30"/>
      <c r="C95" s="30"/>
      <c r="D95" s="30"/>
      <c r="E95" s="30"/>
      <c r="F95" s="30"/>
      <c r="G95" s="21" t="s">
        <v>169</v>
      </c>
      <c r="H95" s="18"/>
      <c r="I95" s="18"/>
      <c r="J95" s="18"/>
      <c r="K95" s="18"/>
    </row>
    <row r="96" spans="1:11" ht="1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</row>
    <row r="97" spans="1:11" ht="15" customHeight="1" x14ac:dyDescent="0.25">
      <c r="A97" s="8" t="s">
        <v>170</v>
      </c>
      <c r="B97" s="8"/>
      <c r="C97" s="8"/>
      <c r="D97" s="8"/>
      <c r="E97" s="8"/>
      <c r="F97" s="8"/>
      <c r="G97" s="8"/>
      <c r="H97" s="8"/>
      <c r="I97" s="8"/>
      <c r="J97" s="8"/>
      <c r="K97" s="8"/>
    </row>
  </sheetData>
  <mergeCells count="17">
    <mergeCell ref="A91:G91"/>
    <mergeCell ref="A97:K97"/>
    <mergeCell ref="B11:C11"/>
    <mergeCell ref="A13:G13"/>
    <mergeCell ref="A31:G31"/>
    <mergeCell ref="A53:G53"/>
    <mergeCell ref="A81:G81"/>
    <mergeCell ref="B7:C7"/>
    <mergeCell ref="F7:G7"/>
    <mergeCell ref="B8:C8"/>
    <mergeCell ref="F8:G8"/>
    <mergeCell ref="B10:C10"/>
    <mergeCell ref="A1:G2"/>
    <mergeCell ref="A3:G3"/>
    <mergeCell ref="A5:G5"/>
    <mergeCell ref="B6:C6"/>
    <mergeCell ref="F6:G6"/>
  </mergeCells>
  <dataValidations count="4">
    <dataValidation type="list" allowBlank="1" promptTitle="Industry" prompt="Select industry for tailored benchmarks" sqref="B10" xr:uid="{00000000-0002-0000-0100-000000000000}">
      <formula1>"Manufacturing,IT/Software,Banking/NBFC,Pharma,FMCG/Retail,Infrastructure,Chemicals,Auto/Ancillary,Textiles,Real Estate,Services/Consulting"</formula1>
      <formula2>0</formula2>
    </dataValidation>
    <dataValidation type="decimal" operator="greaterThanOrEqual" allowBlank="1" showErrorMessage="1" errorTitle="Negative Revenue" error="Revenue should be positive. Please check your entry." prompt="Enter revenue (should be positive)" sqref="B54:F54" xr:uid="{00000000-0002-0000-0100-000001000000}">
      <formula1>0</formula1>
      <formula2>0</formula2>
    </dataValidation>
    <dataValidation type="decimal" operator="greaterThan" allowBlank="1" showErrorMessage="1" errorTitle="Invalid Shares" error="Number of shares must be positive." sqref="B78:F78" xr:uid="{00000000-0002-0000-0100-000002000000}">
      <formula1>0</formula1>
      <formula2>0</formula2>
    </dataValidation>
    <dataValidation type="list" sqref="B11" xr:uid="{00000000-0002-0000-0100-000003000000}">
      <formula1>"Rs. Thousands,Rs. Lakhs,Rs. Crores"</formula1>
      <formula2>0</formula2>
    </dataValidation>
  </dataValidations>
  <pageMargins left="0.5" right="0.5" top="0.75" bottom="0.75" header="0.3" footer="0.3"/>
  <pageSetup paperSize="9" fitToHeight="0" orientation="landscape" horizontalDpi="300" verticalDpi="300"/>
  <headerFooter>
    <oddHeader>&amp;C&amp;"Calibri,Bold"&amp;12 &amp;"Calibri,Regular"Financial Ratio Analysis Toolkit | CA Rushabh Jamdade</oddHeader>
    <oddFooter>&amp;LCA Rushabh Jamdade&amp;C&amp;D&amp;RPage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5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K2"/>
    </sheetView>
  </sheetViews>
  <sheetFormatPr defaultColWidth="8.7109375" defaultRowHeight="15" x14ac:dyDescent="0.25"/>
  <cols>
    <col min="1" max="1" width="5" customWidth="1"/>
    <col min="2" max="3" width="30" customWidth="1"/>
    <col min="4" max="8" width="14" customWidth="1"/>
    <col min="9" max="9" width="10" customWidth="1"/>
    <col min="10" max="10" width="11" customWidth="1"/>
    <col min="11" max="11" width="72" customWidth="1"/>
  </cols>
  <sheetData>
    <row r="1" spans="1:11" ht="15" customHeight="1" x14ac:dyDescent="0.25">
      <c r="A1" s="7" t="s">
        <v>171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" customHeight="1" x14ac:dyDescent="0.25">
      <c r="A3" s="12" t="s">
        <v>172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5" spans="1:11" ht="15" customHeight="1" x14ac:dyDescent="0.25">
      <c r="A5" s="32" t="s">
        <v>173</v>
      </c>
      <c r="B5" s="32" t="s">
        <v>174</v>
      </c>
      <c r="C5" s="32" t="s">
        <v>175</v>
      </c>
      <c r="D5" s="32" t="s">
        <v>176</v>
      </c>
      <c r="E5" s="32" t="s">
        <v>177</v>
      </c>
      <c r="F5" s="32" t="s">
        <v>178</v>
      </c>
      <c r="G5" s="32" t="s">
        <v>179</v>
      </c>
      <c r="H5" s="32" t="s">
        <v>180</v>
      </c>
      <c r="I5" s="32" t="s">
        <v>181</v>
      </c>
      <c r="J5" s="32" t="s">
        <v>182</v>
      </c>
      <c r="K5" s="32" t="s">
        <v>183</v>
      </c>
    </row>
    <row r="6" spans="1:11" ht="15" customHeight="1" x14ac:dyDescent="0.25">
      <c r="A6" s="6" t="s">
        <v>184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15" customHeight="1" x14ac:dyDescent="0.25">
      <c r="A7" s="33">
        <v>1</v>
      </c>
      <c r="B7" s="34" t="s">
        <v>185</v>
      </c>
      <c r="C7" s="35" t="s">
        <v>186</v>
      </c>
      <c r="D7" s="36" t="str">
        <f>IFERROR('Data Input'!B19/'Data Input'!B37,"-")</f>
        <v>-</v>
      </c>
      <c r="E7" s="36" t="str">
        <f>IFERROR('Data Input'!C19/'Data Input'!C37,"-")</f>
        <v>-</v>
      </c>
      <c r="F7" s="36" t="str">
        <f>IFERROR('Data Input'!D19/'Data Input'!D37,"-")</f>
        <v>-</v>
      </c>
      <c r="G7" s="36" t="str">
        <f>IFERROR('Data Input'!E19/'Data Input'!E37,"-")</f>
        <v>-</v>
      </c>
      <c r="H7" s="36" t="str">
        <f>IFERROR('Data Input'!F19/'Data Input'!F37,"-")</f>
        <v>-</v>
      </c>
      <c r="I7" s="37" t="str">
        <f>IFERROR(IF(OR(H7="-",D7="-",ISTEXT(H7),ISTEXT(D7)),"—",IF(H7&gt;D7,"▲",IF(H7&lt;D7,"▼","→"))),"—")</f>
        <v>—</v>
      </c>
      <c r="J7" s="38" t="str">
        <f>IFERROR(IF(OR(H7="-",G7="-",ISTEXT(H7),ISTEXT(G7),G7=0),"—",(H7-G7)/ABS(G7)),"—")</f>
        <v>—</v>
      </c>
      <c r="K7" s="39" t="str">
        <f>IFERROR(IF(H7="-","Insufficient data",IF(H7&gt;=2,"Strong liquidity — but check if excess idle assets drag ROA",IF(H7&gt;=1.5,"Healthy — comfortable buffer for near-term obligations",IF(H7&gt;=1,"Adequate but tight — one bad quarter could stress payables",IF(H7&gt;=0.5,"Stressed — current liabilities exceed quick liquid assets","Critical — immediate liquidity crisis, assess going concern"))))),"")</f>
        <v>Insufficient data</v>
      </c>
    </row>
    <row r="8" spans="1:11" ht="15" customHeight="1" x14ac:dyDescent="0.25">
      <c r="A8" s="33">
        <v>2</v>
      </c>
      <c r="B8" s="34" t="s">
        <v>187</v>
      </c>
      <c r="C8" s="35" t="s">
        <v>188</v>
      </c>
      <c r="D8" s="36" t="str">
        <f>IFERROR(('Data Input'!B19-'Data Input'!B17)/'Data Input'!B37,"-")</f>
        <v>-</v>
      </c>
      <c r="E8" s="36" t="str">
        <f>IFERROR(('Data Input'!C19-'Data Input'!C17)/'Data Input'!C37,"-")</f>
        <v>-</v>
      </c>
      <c r="F8" s="36" t="str">
        <f>IFERROR(('Data Input'!D19-'Data Input'!D17)/'Data Input'!D37,"-")</f>
        <v>-</v>
      </c>
      <c r="G8" s="36" t="str">
        <f>IFERROR(('Data Input'!E19-'Data Input'!E17)/'Data Input'!E37,"-")</f>
        <v>-</v>
      </c>
      <c r="H8" s="36" t="str">
        <f>IFERROR(('Data Input'!F19-'Data Input'!F17)/'Data Input'!F37,"-")</f>
        <v>-</v>
      </c>
      <c r="I8" s="37" t="str">
        <f>IFERROR(IF(OR(H8="-",D8="-",ISTEXT(H8),ISTEXT(D8)),"—",IF(H8&gt;D8,"▲",IF(H8&lt;D8,"▼","→"))),"—")</f>
        <v>—</v>
      </c>
      <c r="J8" s="38" t="str">
        <f>IFERROR(IF(OR(H8="-",G8="-",ISTEXT(H8),ISTEXT(G8),G8=0),"—",(H8-G8)/ABS(G8)),"—")</f>
        <v>—</v>
      </c>
      <c r="K8" s="39" t="str">
        <f>IFERROR(IF(H8="-","",IF(H8&gt;=1.5,"Excess liquid assets — evaluate deployment into earning assets",IF(H8&gt;=1,"Can meet CL without selling inventory — clean liquidity position",IF(H8&gt;=0.7,"Acceptable, but reliant on inventory liquidation if stressed","Weak — stripping out inventory exposes a real gap in liquid cover")))),"")</f>
        <v/>
      </c>
    </row>
    <row r="9" spans="1:11" ht="15" customHeight="1" x14ac:dyDescent="0.25">
      <c r="A9" s="33">
        <v>3</v>
      </c>
      <c r="B9" s="34" t="s">
        <v>189</v>
      </c>
      <c r="C9" s="35" t="s">
        <v>190</v>
      </c>
      <c r="D9" s="36" t="str">
        <f>IFERROR('Data Input'!B14/'Data Input'!B37,"-")</f>
        <v>-</v>
      </c>
      <c r="E9" s="36" t="str">
        <f>IFERROR('Data Input'!C14/'Data Input'!C37,"-")</f>
        <v>-</v>
      </c>
      <c r="F9" s="36" t="str">
        <f>IFERROR('Data Input'!D14/'Data Input'!D37,"-")</f>
        <v>-</v>
      </c>
      <c r="G9" s="36" t="str">
        <f>IFERROR('Data Input'!E14/'Data Input'!E37,"-")</f>
        <v>-</v>
      </c>
      <c r="H9" s="36" t="str">
        <f>IFERROR('Data Input'!F14/'Data Input'!F37,"-")</f>
        <v>-</v>
      </c>
      <c r="I9" s="37" t="str">
        <f>IFERROR(IF(OR(H9="-",D9="-",ISTEXT(H9),ISTEXT(D9)),"—",IF(H9&gt;D9,"▲",IF(H9&lt;D9,"▼","→"))),"—")</f>
        <v>—</v>
      </c>
      <c r="J9" s="38" t="str">
        <f>IFERROR(IF(OR(H9="-",G9="-",ISTEXT(H9),ISTEXT(G9),G9=0),"—",(H9-G9)/ABS(G9)),"—")</f>
        <v>—</v>
      </c>
      <c r="K9" s="39" t="str">
        <f>IFERROR(IF(H9="-","",IF(H9&gt;=0.5,"High cash reserves — strong immediate payoff capacity",IF(H9&gt;=0.2,"Reasonable cash cushion for immediate obligations","Very low — any payment acceleration could cause a cash crunch"))),"")</f>
        <v/>
      </c>
    </row>
    <row r="10" spans="1:11" ht="15" customHeight="1" x14ac:dyDescent="0.25">
      <c r="A10" s="33">
        <v>4</v>
      </c>
      <c r="B10" s="34" t="s">
        <v>191</v>
      </c>
      <c r="C10" s="35" t="s">
        <v>192</v>
      </c>
      <c r="D10" s="40">
        <f>IFERROR('Data Input'!B19-'Data Input'!B37,"-")</f>
        <v>0</v>
      </c>
      <c r="E10" s="40">
        <f>IFERROR('Data Input'!C19-'Data Input'!C37,"-")</f>
        <v>0</v>
      </c>
      <c r="F10" s="40">
        <f>IFERROR('Data Input'!D19-'Data Input'!D37,"-")</f>
        <v>0</v>
      </c>
      <c r="G10" s="40">
        <f>IFERROR('Data Input'!E19-'Data Input'!E37,"-")</f>
        <v>0</v>
      </c>
      <c r="H10" s="40">
        <f>IFERROR('Data Input'!F19-'Data Input'!F37,"-")</f>
        <v>0</v>
      </c>
      <c r="I10" s="37" t="str">
        <f>IFERROR(IF(OR(H10="-",D10="-",ISTEXT(H10),ISTEXT(D10)),"—",IF(H10&gt;D10,"▲",IF(H10&lt;D10,"▼","→"))),"—")</f>
        <v>→</v>
      </c>
      <c r="J10" s="38" t="str">
        <f>IFERROR(IF(OR(H10="-",G10="-",ISTEXT(H10),ISTEXT(G10),G10=0),"—",(H10-G10)/ABS(G10)),"—")</f>
        <v>—</v>
      </c>
      <c r="K10" s="39" t="str">
        <f>IFERROR(IF(H10="-","",IF(H10&gt;0,"Positive WC — short-term assets cover claims. ₹"&amp;TEXT(H10,"#,##0")&amp;"L buffer","Negative WC — operating on supplier/lender credit, check if structural")),"")</f>
        <v>Negative WC — operating on supplier/lender credit, check if structural</v>
      </c>
    </row>
    <row r="11" spans="1:11" ht="15" customHeight="1" x14ac:dyDescent="0.25">
      <c r="A11" s="33">
        <v>5</v>
      </c>
      <c r="B11" s="34" t="s">
        <v>193</v>
      </c>
      <c r="C11" s="35" t="s">
        <v>194</v>
      </c>
      <c r="D11" s="41" t="str">
        <f>IFERROR(('Data Input'!B14+'Data Input'!B16+'Data Input'!B15)/(('Data Input'!B64-'Data Input'!B61)/365),"-")</f>
        <v>-</v>
      </c>
      <c r="E11" s="41" t="str">
        <f>IFERROR(('Data Input'!C14+'Data Input'!C16+'Data Input'!C15)/(('Data Input'!C64-'Data Input'!C61)/365),"-")</f>
        <v>-</v>
      </c>
      <c r="F11" s="41" t="str">
        <f>IFERROR(('Data Input'!D14+'Data Input'!D16+'Data Input'!D15)/(('Data Input'!D64-'Data Input'!D61)/365),"-")</f>
        <v>-</v>
      </c>
      <c r="G11" s="41" t="str">
        <f>IFERROR(('Data Input'!E14+'Data Input'!E16+'Data Input'!E15)/(('Data Input'!E64-'Data Input'!E61)/365),"-")</f>
        <v>-</v>
      </c>
      <c r="H11" s="41" t="str">
        <f>IFERROR(('Data Input'!F14+'Data Input'!F16+'Data Input'!F15)/(('Data Input'!F64-'Data Input'!F61)/365),"-")</f>
        <v>-</v>
      </c>
      <c r="I11" s="37" t="str">
        <f>IFERROR(IF(OR(H11="-",D11="-",ISTEXT(H11),ISTEXT(D11)),"—",IF(H11&gt;D11,"▲",IF(H11&lt;D11,"▼","→"))),"—")</f>
        <v>—</v>
      </c>
      <c r="J11" s="38" t="str">
        <f>IFERROR(IF(OR(H11="-",G11="-",ISTEXT(H11),ISTEXT(G11),G11=0),"—",(H11-G11)/ABS(G11)),"—")</f>
        <v>—</v>
      </c>
      <c r="K11" s="39" t="str">
        <f>IFERROR(IF(H11="-","",IF(H11&gt;=90,"Can sustain 3+ months ops from liquid assets alone",IF(H11&gt;=45,"1-3 months coverage — adequate for most businesses","Below 45 days — highly dependent on continuous collections/inflows"))),"")</f>
        <v/>
      </c>
    </row>
    <row r="12" spans="1:11" ht="15" customHeight="1" x14ac:dyDescent="0.25">
      <c r="A12" s="6" t="s">
        <v>195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15" customHeight="1" x14ac:dyDescent="0.25">
      <c r="A13" s="33">
        <v>6</v>
      </c>
      <c r="B13" s="34" t="s">
        <v>196</v>
      </c>
      <c r="C13" s="35" t="s">
        <v>197</v>
      </c>
      <c r="D13" s="42" t="str">
        <f>IFERROR(('Data Input'!B54-('Data Input'!B58+'Data Input'!B59))/'Data Input'!B54,"-")</f>
        <v>-</v>
      </c>
      <c r="E13" s="42" t="str">
        <f>IFERROR(('Data Input'!C54-('Data Input'!C58+'Data Input'!C59))/'Data Input'!C54,"-")</f>
        <v>-</v>
      </c>
      <c r="F13" s="42" t="str">
        <f>IFERROR(('Data Input'!D54-('Data Input'!D58+'Data Input'!D59))/'Data Input'!D54,"-")</f>
        <v>-</v>
      </c>
      <c r="G13" s="42" t="str">
        <f>IFERROR(('Data Input'!E54-('Data Input'!E58+'Data Input'!E59))/'Data Input'!E54,"-")</f>
        <v>-</v>
      </c>
      <c r="H13" s="42" t="str">
        <f>IFERROR(('Data Input'!F54-('Data Input'!F58+'Data Input'!F59))/'Data Input'!F54,"-")</f>
        <v>-</v>
      </c>
      <c r="I13" s="37" t="str">
        <f t="shared" ref="I13:I21" si="0">IFERROR(IF(OR(H13="-",D13="-",ISTEXT(H13),ISTEXT(D13)),"—",IF(H13&gt;D13,"▲",IF(H13&lt;D13,"▼","→"))),"—")</f>
        <v>—</v>
      </c>
      <c r="J13" s="38" t="str">
        <f t="shared" ref="J13:J21" si="1">IFERROR(IF(OR(H13="-",G13="-",ISTEXT(H13),ISTEXT(G13),G13=0),"—",(H13-G13)/ABS(G13)),"—")</f>
        <v>—</v>
      </c>
      <c r="K13" s="39" t="str">
        <f>IFERROR(IF(H13="-","",IF(H13&gt;=0.5,"Strong pricing power — moat indicator, low input dependence",IF(H13&gt;=0.3,"Healthy margins — room to absorb cost pressures",IF(H13&gt;=0.15,"Thin — vulnerable to raw material/input cost spikes","Very thin — any cost increase directly hits bottom line")))),"")</f>
        <v/>
      </c>
    </row>
    <row r="14" spans="1:11" ht="15" customHeight="1" x14ac:dyDescent="0.25">
      <c r="A14" s="33">
        <v>7</v>
      </c>
      <c r="B14" s="34" t="s">
        <v>198</v>
      </c>
      <c r="C14" s="35" t="s">
        <v>199</v>
      </c>
      <c r="D14" s="40">
        <f>IFERROR('Data Input'!B68+'Data Input'!B62+'Data Input'!B61,"-")</f>
        <v>0</v>
      </c>
      <c r="E14" s="40">
        <f>IFERROR('Data Input'!C68+'Data Input'!C62+'Data Input'!C61,"-")</f>
        <v>0</v>
      </c>
      <c r="F14" s="40">
        <f>IFERROR('Data Input'!D68+'Data Input'!D62+'Data Input'!D61,"-")</f>
        <v>0</v>
      </c>
      <c r="G14" s="40">
        <f>IFERROR('Data Input'!E68+'Data Input'!E62+'Data Input'!E61,"-")</f>
        <v>0</v>
      </c>
      <c r="H14" s="40">
        <f>IFERROR('Data Input'!F68+'Data Input'!F62+'Data Input'!F61,"-")</f>
        <v>0</v>
      </c>
      <c r="I14" s="37" t="str">
        <f t="shared" si="0"/>
        <v>→</v>
      </c>
      <c r="J14" s="38" t="str">
        <f t="shared" si="1"/>
        <v>—</v>
      </c>
      <c r="K14" s="39" t="str">
        <f>IFERROR(IF(H14="-","",IF(H14&gt;0,"Positive operating cash proxy — debt service capacity exists","Negative EBITDA — core operations are cash-burning")),"")</f>
        <v>Negative EBITDA — core operations are cash-burning</v>
      </c>
    </row>
    <row r="15" spans="1:11" ht="15" customHeight="1" x14ac:dyDescent="0.25">
      <c r="A15" s="33">
        <v>8</v>
      </c>
      <c r="B15" s="34" t="s">
        <v>200</v>
      </c>
      <c r="C15" s="35" t="s">
        <v>201</v>
      </c>
      <c r="D15" s="42" t="str">
        <f>IFERROR(('Data Input'!B68+'Data Input'!B62+'Data Input'!B61)/'Data Input'!B54,"-")</f>
        <v>-</v>
      </c>
      <c r="E15" s="42" t="str">
        <f>IFERROR(('Data Input'!C68+'Data Input'!C62+'Data Input'!C61)/'Data Input'!C54,"-")</f>
        <v>-</v>
      </c>
      <c r="F15" s="42" t="str">
        <f>IFERROR(('Data Input'!D68+'Data Input'!D62+'Data Input'!D61)/'Data Input'!D54,"-")</f>
        <v>-</v>
      </c>
      <c r="G15" s="42" t="str">
        <f>IFERROR(('Data Input'!E68+'Data Input'!E62+'Data Input'!E61)/'Data Input'!E54,"-")</f>
        <v>-</v>
      </c>
      <c r="H15" s="42" t="str">
        <f>IFERROR(('Data Input'!F68+'Data Input'!F62+'Data Input'!F61)/'Data Input'!F54,"-")</f>
        <v>-</v>
      </c>
      <c r="I15" s="37" t="str">
        <f t="shared" si="0"/>
        <v>—</v>
      </c>
      <c r="J15" s="38" t="str">
        <f t="shared" si="1"/>
        <v>—</v>
      </c>
      <c r="K15" s="39" t="str">
        <f>IFERROR(IF(H15="-","",IF(H15&gt;=0.25,"Excellent operating efficiency — strong for leveraged growth",IF(H15&gt;=0.15,"Good — healthy operating cash per rupee of revenue",IF(H15&gt;=0.08,"Moderate — typical for competitive, low-margin industries","Low — review employee cost and overhead structure")))),"")</f>
        <v/>
      </c>
    </row>
    <row r="16" spans="1:11" ht="15" customHeight="1" x14ac:dyDescent="0.25">
      <c r="A16" s="33">
        <v>9</v>
      </c>
      <c r="B16" s="34" t="s">
        <v>202</v>
      </c>
      <c r="C16" s="35" t="s">
        <v>203</v>
      </c>
      <c r="D16" s="42" t="str">
        <f>IFERROR(('Data Input'!B54-('Data Input'!B58+'Data Input'!B59)-'Data Input'!B60-'Data Input'!B63)/'Data Input'!B54,"-")</f>
        <v>-</v>
      </c>
      <c r="E16" s="42" t="str">
        <f>IFERROR(('Data Input'!C54-('Data Input'!C58+'Data Input'!C59)-'Data Input'!C60-'Data Input'!C63)/'Data Input'!C54,"-")</f>
        <v>-</v>
      </c>
      <c r="F16" s="42" t="str">
        <f>IFERROR(('Data Input'!D54-('Data Input'!D58+'Data Input'!D59)-'Data Input'!D60-'Data Input'!D63)/'Data Input'!D54,"-")</f>
        <v>-</v>
      </c>
      <c r="G16" s="42" t="str">
        <f>IFERROR(('Data Input'!E54-('Data Input'!E58+'Data Input'!E59)-'Data Input'!E60-'Data Input'!E63)/'Data Input'!E54,"-")</f>
        <v>-</v>
      </c>
      <c r="H16" s="42" t="str">
        <f>IFERROR(('Data Input'!F54-('Data Input'!F58+'Data Input'!F59)-'Data Input'!F60-'Data Input'!F63)/'Data Input'!F54,"-")</f>
        <v>-</v>
      </c>
      <c r="I16" s="37" t="str">
        <f t="shared" si="0"/>
        <v>—</v>
      </c>
      <c r="J16" s="38" t="str">
        <f t="shared" si="1"/>
        <v>—</v>
      </c>
      <c r="K16" s="39" t="str">
        <f>IFERROR(IF(H16="-","",IF(H16&gt;=0.2,"Strong core profitability before financing decisions",IF(H16&gt;=0.1,"Decent but monitor cost trajectory closely",IF(H16&gt;0,"Thin — small revenue decline wipes out operating profit","Negative — operations lose money before interest and tax")))),"")</f>
        <v/>
      </c>
    </row>
    <row r="17" spans="1:11" ht="15" customHeight="1" x14ac:dyDescent="0.25">
      <c r="A17" s="33">
        <v>10</v>
      </c>
      <c r="B17" s="34" t="s">
        <v>204</v>
      </c>
      <c r="C17" s="35" t="s">
        <v>205</v>
      </c>
      <c r="D17" s="42" t="str">
        <f>IFERROR('Data Input'!B70/'Data Input'!B54,"-")</f>
        <v>-</v>
      </c>
      <c r="E17" s="42" t="str">
        <f>IFERROR('Data Input'!C70/'Data Input'!C54,"-")</f>
        <v>-</v>
      </c>
      <c r="F17" s="42" t="str">
        <f>IFERROR('Data Input'!D70/'Data Input'!D54,"-")</f>
        <v>-</v>
      </c>
      <c r="G17" s="42" t="str">
        <f>IFERROR('Data Input'!E70/'Data Input'!E54,"-")</f>
        <v>-</v>
      </c>
      <c r="H17" s="42" t="str">
        <f>IFERROR('Data Input'!F70/'Data Input'!F54,"-")</f>
        <v>-</v>
      </c>
      <c r="I17" s="37" t="str">
        <f t="shared" si="0"/>
        <v>—</v>
      </c>
      <c r="J17" s="38" t="str">
        <f t="shared" si="1"/>
        <v>—</v>
      </c>
      <c r="K17" s="39" t="str">
        <f>IFERROR(IF(H17="-","",IF(H17&gt;=0.15,"Superior — pricing power + cost control",IF(H17&gt;=0.08,"Healthy, consistent with well-managed ops",IF(H17&gt;=0.03,"Slim but viable — watch interest &amp; tax rate changes",IF(H17&gt;0,"Barely profitable — any adverse event tips into loss","Net loss — check if structural or one-off (exceptional items?)"))))),"")</f>
        <v/>
      </c>
    </row>
    <row r="18" spans="1:11" ht="15" customHeight="1" x14ac:dyDescent="0.25">
      <c r="A18" s="33">
        <v>11</v>
      </c>
      <c r="B18" s="34" t="s">
        <v>206</v>
      </c>
      <c r="C18" s="35" t="s">
        <v>207</v>
      </c>
      <c r="D18" s="42" t="str">
        <f>IFERROR(IF('Data Input'!B47&lt;=0,"Neg Eq",'Data Input'!B70/'Data Input'!B47),"-")</f>
        <v>Neg Eq</v>
      </c>
      <c r="E18" s="42" t="str">
        <f>IFERROR(IF('Data Input'!C47&lt;=0,"Neg Eq",'Data Input'!C70/'Data Input'!C47),"-")</f>
        <v>Neg Eq</v>
      </c>
      <c r="F18" s="42" t="str">
        <f>IFERROR(IF('Data Input'!D47&lt;=0,"Neg Eq",'Data Input'!D70/'Data Input'!D47),"-")</f>
        <v>Neg Eq</v>
      </c>
      <c r="G18" s="42" t="str">
        <f>IFERROR(IF('Data Input'!E47&lt;=0,"Neg Eq",'Data Input'!E70/'Data Input'!E47),"-")</f>
        <v>Neg Eq</v>
      </c>
      <c r="H18" s="42" t="str">
        <f>IFERROR(IF('Data Input'!F47&lt;=0,"Neg Eq",'Data Input'!F70/'Data Input'!F47),"-")</f>
        <v>Neg Eq</v>
      </c>
      <c r="I18" s="37" t="str">
        <f t="shared" si="0"/>
        <v>—</v>
      </c>
      <c r="J18" s="38" t="str">
        <f t="shared" si="1"/>
        <v>—</v>
      </c>
      <c r="K18" s="39" t="str">
        <f>IFERROR(IF(H18="-","",IF(ISTEXT(H18),"Negative equity — accumulated losses exceed capital",IF(H18&gt;=0.2,"Exceptional — but verify if driven by high leverage (check D/E)",IF(H18&gt;=0.15,"Good shareholder returns — crosses cost-of-equity threshold",IF(H18&gt;=0.08,"Below CoE for most sectors — value erosion risk","Poor — earning less than an FD, capital allocation review needed"))))),"")</f>
        <v>Negative equity — accumulated losses exceed capital</v>
      </c>
    </row>
    <row r="19" spans="1:11" ht="15" customHeight="1" x14ac:dyDescent="0.25">
      <c r="A19" s="33">
        <v>12</v>
      </c>
      <c r="B19" s="34" t="s">
        <v>208</v>
      </c>
      <c r="C19" s="35" t="s">
        <v>209</v>
      </c>
      <c r="D19" s="42" t="str">
        <f>IFERROR('Data Input'!B70/'Data Input'!B29,"-")</f>
        <v>-</v>
      </c>
      <c r="E19" s="42" t="str">
        <f>IFERROR('Data Input'!C70/'Data Input'!C29,"-")</f>
        <v>-</v>
      </c>
      <c r="F19" s="42" t="str">
        <f>IFERROR('Data Input'!D70/'Data Input'!D29,"-")</f>
        <v>-</v>
      </c>
      <c r="G19" s="42" t="str">
        <f>IFERROR('Data Input'!E70/'Data Input'!E29,"-")</f>
        <v>-</v>
      </c>
      <c r="H19" s="42" t="str">
        <f>IFERROR('Data Input'!F70/'Data Input'!F29,"-")</f>
        <v>-</v>
      </c>
      <c r="I19" s="37" t="str">
        <f t="shared" si="0"/>
        <v>—</v>
      </c>
      <c r="J19" s="38" t="str">
        <f t="shared" si="1"/>
        <v>—</v>
      </c>
      <c r="K19" s="39" t="str">
        <f>IFERROR(IF(H19="-","",IF(H19&gt;=0.1,"Highly efficient — typical of asset-light models",IF(H19&gt;=0.05,"Reasonable for asset-moderate businesses",IF(H19&gt;=0.02,"Low — large asset base not translating to proportional profits","Very low — significant underutilisation or write-down risk")))),"")</f>
        <v/>
      </c>
    </row>
    <row r="20" spans="1:11" ht="15" customHeight="1" x14ac:dyDescent="0.25">
      <c r="A20" s="33">
        <v>13</v>
      </c>
      <c r="B20" s="34" t="s">
        <v>210</v>
      </c>
      <c r="C20" s="35" t="s">
        <v>211</v>
      </c>
      <c r="D20" s="42" t="str">
        <f>IFERROR(('Data Input'!B68+'Data Input'!B62)/('Data Input'!B29-'Data Input'!B37),"-")</f>
        <v>-</v>
      </c>
      <c r="E20" s="42" t="str">
        <f>IFERROR(('Data Input'!C68+'Data Input'!C62)/('Data Input'!C29-'Data Input'!C37),"-")</f>
        <v>-</v>
      </c>
      <c r="F20" s="42" t="str">
        <f>IFERROR(('Data Input'!D68+'Data Input'!D62)/('Data Input'!D29-'Data Input'!D37),"-")</f>
        <v>-</v>
      </c>
      <c r="G20" s="42" t="str">
        <f>IFERROR(('Data Input'!E68+'Data Input'!E62)/('Data Input'!E29-'Data Input'!E37),"-")</f>
        <v>-</v>
      </c>
      <c r="H20" s="42" t="str">
        <f>IFERROR(('Data Input'!F68+'Data Input'!F62)/('Data Input'!F29-'Data Input'!F37),"-")</f>
        <v>-</v>
      </c>
      <c r="I20" s="37" t="str">
        <f t="shared" si="0"/>
        <v>—</v>
      </c>
      <c r="J20" s="38" t="str">
        <f t="shared" si="1"/>
        <v>—</v>
      </c>
      <c r="K20" s="39" t="str">
        <f>IFERROR(IF(H20="-","",IF(H20&gt;=0.2,"Excellent — strong returns on long-term capital",IF(H20&gt;=0.12,"Healthy — above typical WACC, creating economic value",IF(H20&gt;=0.06,"Below average — capital not deployed optimally","Poor — returns below cost of debt, value destruction")))),"")</f>
        <v/>
      </c>
    </row>
    <row r="21" spans="1:11" ht="15" customHeight="1" x14ac:dyDescent="0.25">
      <c r="A21" s="33">
        <v>14</v>
      </c>
      <c r="B21" s="34" t="s">
        <v>212</v>
      </c>
      <c r="C21" s="35" t="s">
        <v>213</v>
      </c>
      <c r="D21" s="42" t="str">
        <f>IFERROR('Data Input'!B82/'Data Input'!B29,"-")</f>
        <v>-</v>
      </c>
      <c r="E21" s="42" t="str">
        <f>IFERROR('Data Input'!C82/'Data Input'!C29,"-")</f>
        <v>-</v>
      </c>
      <c r="F21" s="42" t="str">
        <f>IFERROR('Data Input'!D82/'Data Input'!D29,"-")</f>
        <v>-</v>
      </c>
      <c r="G21" s="42" t="str">
        <f>IFERROR('Data Input'!E82/'Data Input'!E29,"-")</f>
        <v>-</v>
      </c>
      <c r="H21" s="42" t="str">
        <f>IFERROR('Data Input'!F82/'Data Input'!F29,"-")</f>
        <v>-</v>
      </c>
      <c r="I21" s="37" t="str">
        <f t="shared" si="0"/>
        <v>—</v>
      </c>
      <c r="J21" s="38" t="str">
        <f t="shared" si="1"/>
        <v>—</v>
      </c>
      <c r="K21" s="39" t="str">
        <f>IFERROR(IF(H21="-","",IF(H21&gt;=0.1,"Strong real cash generation from asset base",IF(H21&gt;=0.05,"Reasonable — compare with accrual ROA for quality check",IF(H21&gt;0,"Low cash conversion — profits may be stuck in working capital","Negative — assets consuming cash, earnings quality concern")))),"")</f>
        <v/>
      </c>
    </row>
    <row r="22" spans="1:11" ht="15" customHeight="1" x14ac:dyDescent="0.25">
      <c r="A22" s="6" t="s">
        <v>214</v>
      </c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ht="15" customHeight="1" x14ac:dyDescent="0.25">
      <c r="A23" s="33">
        <v>15</v>
      </c>
      <c r="B23" s="34" t="s">
        <v>215</v>
      </c>
      <c r="C23" s="35" t="s">
        <v>216</v>
      </c>
      <c r="D23" s="36" t="str">
        <f>IFERROR(IF('Data Input'!B47&lt;=0,"Neg Eq",('Data Input'!B32+'Data Input'!B39+'Data Input'!B34)/'Data Input'!B47),"-")</f>
        <v>Neg Eq</v>
      </c>
      <c r="E23" s="36" t="str">
        <f>IFERROR(IF('Data Input'!C47&lt;=0,"Neg Eq",('Data Input'!C32+'Data Input'!C39+'Data Input'!C34)/'Data Input'!C47),"-")</f>
        <v>Neg Eq</v>
      </c>
      <c r="F23" s="36" t="str">
        <f>IFERROR(IF('Data Input'!D47&lt;=0,"Neg Eq",('Data Input'!D32+'Data Input'!D39+'Data Input'!D34)/'Data Input'!D47),"-")</f>
        <v>Neg Eq</v>
      </c>
      <c r="G23" s="36" t="str">
        <f>IFERROR(IF('Data Input'!E47&lt;=0,"Neg Eq",('Data Input'!E32+'Data Input'!E39+'Data Input'!E34)/'Data Input'!E47),"-")</f>
        <v>Neg Eq</v>
      </c>
      <c r="H23" s="36" t="str">
        <f>IFERROR(IF('Data Input'!F47&lt;=0,"Neg Eq",('Data Input'!F32+'Data Input'!F39+'Data Input'!F34)/'Data Input'!F47),"-")</f>
        <v>Neg Eq</v>
      </c>
      <c r="I23" s="37" t="str">
        <f t="shared" ref="I23:I30" si="2">IFERROR(IF(OR(H23="-",D23="-",ISTEXT(H23),ISTEXT(D23)),"—",IF(H23&gt;D23,"▲",IF(H23&lt;D23,"▼","→"))),"—")</f>
        <v>—</v>
      </c>
      <c r="J23" s="38" t="str">
        <f t="shared" ref="J23:J30" si="3">IFERROR(IF(OR(H23="-",G23="-",ISTEXT(H23),ISTEXT(G23),G23=0),"—",(H23-G23)/ABS(G23)),"—")</f>
        <v>—</v>
      </c>
      <c r="K23" s="39" t="str">
        <f>IFERROR(IF(H23="-","",IF(ISTEXT(H23),"Negative equity — debt exceeds net worth",IF(H23&lt;=0.5,"Conservative — minimal financial risk, check if under-leveraged",IF(H23&lt;=1,"Balanced — reasonable leverage with adequate equity cushion",IF(H23&lt;=2,"Moderately leveraged — OK if cash flows are stable","High — financial risk elevated, watch interest coverage closely"))))),"")</f>
        <v>Negative equity — debt exceeds net worth</v>
      </c>
    </row>
    <row r="24" spans="1:11" ht="15" customHeight="1" x14ac:dyDescent="0.25">
      <c r="A24" s="33">
        <v>16</v>
      </c>
      <c r="B24" s="34" t="s">
        <v>217</v>
      </c>
      <c r="C24" s="35" t="s">
        <v>218</v>
      </c>
      <c r="D24" s="42" t="str">
        <f>IFERROR(('Data Input'!B32+'Data Input'!B39+'Data Input'!B34)/'Data Input'!B29,"-")</f>
        <v>-</v>
      </c>
      <c r="E24" s="42" t="str">
        <f>IFERROR(('Data Input'!C32+'Data Input'!C39+'Data Input'!C34)/'Data Input'!C29,"-")</f>
        <v>-</v>
      </c>
      <c r="F24" s="42" t="str">
        <f>IFERROR(('Data Input'!D32+'Data Input'!D39+'Data Input'!D34)/'Data Input'!D29,"-")</f>
        <v>-</v>
      </c>
      <c r="G24" s="42" t="str">
        <f>IFERROR(('Data Input'!E32+'Data Input'!E39+'Data Input'!E34)/'Data Input'!E29,"-")</f>
        <v>-</v>
      </c>
      <c r="H24" s="42" t="str">
        <f>IFERROR(('Data Input'!F32+'Data Input'!F39+'Data Input'!F34)/'Data Input'!F29,"-")</f>
        <v>-</v>
      </c>
      <c r="I24" s="37" t="str">
        <f t="shared" si="2"/>
        <v>—</v>
      </c>
      <c r="J24" s="38" t="str">
        <f t="shared" si="3"/>
        <v>—</v>
      </c>
      <c r="K24" s="39" t="str">
        <f>IFERROR(IF(H24="-","",IF(H24&lt;=0.3,"Low debt intensity — strong BS resilience",IF(H24&lt;=0.5,"Moderate — within acceptable range for lenders",IF(H24&lt;=0.7,"High — majority of assets financed by debt","Very high — limited asset cover for creditors")))),"")</f>
        <v/>
      </c>
    </row>
    <row r="25" spans="1:11" ht="15" customHeight="1" x14ac:dyDescent="0.25">
      <c r="A25" s="33">
        <v>17</v>
      </c>
      <c r="B25" s="34" t="s">
        <v>219</v>
      </c>
      <c r="C25" s="35" t="s">
        <v>220</v>
      </c>
      <c r="D25" s="42" t="str">
        <f>IFERROR('Data Input'!B47/'Data Input'!B29,"-")</f>
        <v>-</v>
      </c>
      <c r="E25" s="42" t="str">
        <f>IFERROR('Data Input'!C47/'Data Input'!C29,"-")</f>
        <v>-</v>
      </c>
      <c r="F25" s="42" t="str">
        <f>IFERROR('Data Input'!D47/'Data Input'!D29,"-")</f>
        <v>-</v>
      </c>
      <c r="G25" s="42" t="str">
        <f>IFERROR('Data Input'!E47/'Data Input'!E29,"-")</f>
        <v>-</v>
      </c>
      <c r="H25" s="42" t="str">
        <f>IFERROR('Data Input'!F47/'Data Input'!F29,"-")</f>
        <v>-</v>
      </c>
      <c r="I25" s="37" t="str">
        <f t="shared" si="2"/>
        <v>—</v>
      </c>
      <c r="J25" s="38" t="str">
        <f t="shared" si="3"/>
        <v>—</v>
      </c>
      <c r="K25" s="39" t="str">
        <f>IFERROR(IF(H25="-","",IF(H25&gt;=0.5,"Owner-funded — low external capital dependence",IF(H25&gt;=0.3,"Balanced funding mix",IF(H25&gt;0,"Creditor-dominated — limited skin in the game from shareholders","Negative — accumulated losses eroded all equity")))),"")</f>
        <v/>
      </c>
    </row>
    <row r="26" spans="1:11" ht="15" customHeight="1" x14ac:dyDescent="0.25">
      <c r="A26" s="33">
        <v>18</v>
      </c>
      <c r="B26" s="34" t="s">
        <v>221</v>
      </c>
      <c r="C26" s="35" t="s">
        <v>222</v>
      </c>
      <c r="D26" s="36" t="str">
        <f>IFERROR(IF('Data Input'!B62=0,"No Debt",('Data Input'!B68+'Data Input'!B62)/'Data Input'!B62),"-")</f>
        <v>No Debt</v>
      </c>
      <c r="E26" s="36" t="str">
        <f>IFERROR(IF('Data Input'!C62=0,"No Debt",('Data Input'!C68+'Data Input'!C62)/'Data Input'!C62),"-")</f>
        <v>No Debt</v>
      </c>
      <c r="F26" s="36" t="str">
        <f>IFERROR(IF('Data Input'!D62=0,"No Debt",('Data Input'!D68+'Data Input'!D62)/'Data Input'!D62),"-")</f>
        <v>No Debt</v>
      </c>
      <c r="G26" s="36" t="str">
        <f>IFERROR(IF('Data Input'!E62=0,"No Debt",('Data Input'!E68+'Data Input'!E62)/'Data Input'!E62),"-")</f>
        <v>No Debt</v>
      </c>
      <c r="H26" s="36" t="str">
        <f>IFERROR(IF('Data Input'!F62=0,"No Debt",('Data Input'!F68+'Data Input'!F62)/'Data Input'!F62),"-")</f>
        <v>No Debt</v>
      </c>
      <c r="I26" s="37" t="str">
        <f t="shared" si="2"/>
        <v>—</v>
      </c>
      <c r="J26" s="38" t="str">
        <f t="shared" si="3"/>
        <v>—</v>
      </c>
      <c r="K26" s="39" t="str">
        <f>IFERROR(IF(H26="-","",IF(ISTEXT(H26),"No interest burden — debt-free operations",IF(H26&gt;=5,"Very comfortable — 5x+ coverage, low default risk",IF(H26&gt;=3,"Adequate for stable businesses",IF(H26&gt;=1.5,"Tight — any earnings dip strains debt servicing","Below 1.5x — earnings barely cover interest, refinancing risk"))))),"")</f>
        <v>No interest burden — debt-free operations</v>
      </c>
    </row>
    <row r="27" spans="1:11" ht="15" customHeight="1" x14ac:dyDescent="0.25">
      <c r="A27" s="33">
        <v>19</v>
      </c>
      <c r="B27" s="34" t="s">
        <v>223</v>
      </c>
      <c r="C27" s="35" t="s">
        <v>224</v>
      </c>
      <c r="D27" s="36" t="str">
        <f>IFERROR(IF(('Data Input'!B62+'Data Input'!B34)=0,"No Debt",('Data Input'!B70+'Data Input'!B61+'Data Input'!B62)/('Data Input'!B62+'Data Input'!B34)),"-")</f>
        <v>No Debt</v>
      </c>
      <c r="E27" s="36" t="str">
        <f>IFERROR(IF(('Data Input'!C62+'Data Input'!C34)=0,"No Debt",('Data Input'!C70+'Data Input'!C61+'Data Input'!C62)/('Data Input'!C62+'Data Input'!C34)),"-")</f>
        <v>No Debt</v>
      </c>
      <c r="F27" s="36" t="str">
        <f>IFERROR(IF(('Data Input'!D62+'Data Input'!D34)=0,"No Debt",('Data Input'!D70+'Data Input'!D61+'Data Input'!D62)/('Data Input'!D62+'Data Input'!D34)),"-")</f>
        <v>No Debt</v>
      </c>
      <c r="G27" s="36" t="str">
        <f>IFERROR(IF(('Data Input'!E62+'Data Input'!E34)=0,"No Debt",('Data Input'!E70+'Data Input'!E61+'Data Input'!E62)/('Data Input'!E62+'Data Input'!E34)),"-")</f>
        <v>No Debt</v>
      </c>
      <c r="H27" s="36" t="str">
        <f>IFERROR(IF(('Data Input'!F62+'Data Input'!F34)=0,"No Debt",('Data Input'!F70+'Data Input'!F61+'Data Input'!F62)/('Data Input'!F62+'Data Input'!F34)),"-")</f>
        <v>No Debt</v>
      </c>
      <c r="I27" s="37" t="str">
        <f t="shared" si="2"/>
        <v>—</v>
      </c>
      <c r="J27" s="38" t="str">
        <f t="shared" si="3"/>
        <v>—</v>
      </c>
      <c r="K27" s="39" t="str">
        <f>IFERROR(IF(H27="-","",IF(ISTEXT(H27),"No principal/interest obligations",IF(H27&gt;=2,"Strong — comfortably covers all debt servicing (banks want 1.5x+)",IF(H27&gt;=1.25,"Meets standard bank covenant of 1.25x minimum",IF(H27&gt;=1,"Razor thin — just covers obligations with zero buffer","Below 1x — cannot service debt from operations, default risk"))))),"")</f>
        <v>No principal/interest obligations</v>
      </c>
    </row>
    <row r="28" spans="1:11" ht="15" customHeight="1" x14ac:dyDescent="0.25">
      <c r="A28" s="33">
        <v>20</v>
      </c>
      <c r="B28" s="34" t="s">
        <v>225</v>
      </c>
      <c r="C28" s="35" t="s">
        <v>226</v>
      </c>
      <c r="D28" s="36" t="str">
        <f>IFERROR(IF('Data Input'!B47&lt;=0,"Neg Eq",'Data Input'!B29/'Data Input'!B47),"-")</f>
        <v>Neg Eq</v>
      </c>
      <c r="E28" s="36" t="str">
        <f>IFERROR(IF('Data Input'!C47&lt;=0,"Neg Eq",'Data Input'!C29/'Data Input'!C47),"-")</f>
        <v>Neg Eq</v>
      </c>
      <c r="F28" s="36" t="str">
        <f>IFERROR(IF('Data Input'!D47&lt;=0,"Neg Eq",'Data Input'!D29/'Data Input'!D47),"-")</f>
        <v>Neg Eq</v>
      </c>
      <c r="G28" s="36" t="str">
        <f>IFERROR(IF('Data Input'!E47&lt;=0,"Neg Eq",'Data Input'!E29/'Data Input'!E47),"-")</f>
        <v>Neg Eq</v>
      </c>
      <c r="H28" s="36" t="str">
        <f>IFERROR(IF('Data Input'!F47&lt;=0,"Neg Eq",'Data Input'!F29/'Data Input'!F47),"-")</f>
        <v>Neg Eq</v>
      </c>
      <c r="I28" s="37" t="str">
        <f t="shared" si="2"/>
        <v>—</v>
      </c>
      <c r="J28" s="38" t="str">
        <f t="shared" si="3"/>
        <v>—</v>
      </c>
      <c r="K28" s="39" t="str">
        <f>IFERROR(IF(H28="-","",IF(ISTEXT(H28),"Negative equity — infinite leverage",IF(H28&lt;=2,"Low — ₹1 equity supports ≤₹2 assets",IF(H28&lt;=3,"Moderate leverage",IF(H28&lt;=5,"High — amplifies gains and losses","Very high — small asset decline wipes out equity"))))),"")</f>
        <v>Negative equity — infinite leverage</v>
      </c>
    </row>
    <row r="29" spans="1:11" ht="15" customHeight="1" x14ac:dyDescent="0.25">
      <c r="A29" s="33">
        <v>21</v>
      </c>
      <c r="B29" s="34" t="s">
        <v>227</v>
      </c>
      <c r="C29" s="35" t="s">
        <v>228</v>
      </c>
      <c r="D29" s="40">
        <f>IFERROR(('Data Input'!B32+'Data Input'!B39+'Data Input'!B34)-'Data Input'!B14,"-")</f>
        <v>0</v>
      </c>
      <c r="E29" s="40">
        <f>IFERROR(('Data Input'!C32+'Data Input'!C39+'Data Input'!C34)-'Data Input'!C14,"-")</f>
        <v>0</v>
      </c>
      <c r="F29" s="40">
        <f>IFERROR(('Data Input'!D32+'Data Input'!D39+'Data Input'!D34)-'Data Input'!D14,"-")</f>
        <v>0</v>
      </c>
      <c r="G29" s="40">
        <f>IFERROR(('Data Input'!E32+'Data Input'!E39+'Data Input'!E34)-'Data Input'!E14,"-")</f>
        <v>0</v>
      </c>
      <c r="H29" s="40">
        <f>IFERROR(('Data Input'!F32+'Data Input'!F39+'Data Input'!F34)-'Data Input'!F14,"-")</f>
        <v>0</v>
      </c>
      <c r="I29" s="37" t="str">
        <f t="shared" si="2"/>
        <v>→</v>
      </c>
      <c r="J29" s="38" t="str">
        <f t="shared" si="3"/>
        <v>—</v>
      </c>
      <c r="K29" s="39" t="str">
        <f>IFERROR(IF(H29="-","",IF(H29&lt;0,"Net cash positive — cash exceeds all borrowings",IF(H29=0,"Debt equals cash","Net borrower — ₹"&amp;TEXT(H29,"#,##0")&amp;"L debt exceeds cash"))),"")</f>
        <v>Debt equals cash</v>
      </c>
    </row>
    <row r="30" spans="1:11" ht="15" customHeight="1" x14ac:dyDescent="0.25">
      <c r="A30" s="33">
        <v>22</v>
      </c>
      <c r="B30" s="34" t="s">
        <v>229</v>
      </c>
      <c r="C30" s="35" t="s">
        <v>230</v>
      </c>
      <c r="D30" s="36" t="str">
        <f>IFERROR(IF(('Data Input'!B68+'Data Input'!B62+'Data Input'!B61)&lt;=0,"Neg EBITDA",(('Data Input'!B32+'Data Input'!B39+'Data Input'!B34)-'Data Input'!B14)/('Data Input'!B68+'Data Input'!B62+'Data Input'!B61)),"-")</f>
        <v>Neg EBITDA</v>
      </c>
      <c r="E30" s="36" t="str">
        <f>IFERROR(IF(('Data Input'!C68+'Data Input'!C62+'Data Input'!C61)&lt;=0,"Neg EBITDA",(('Data Input'!C32+'Data Input'!C39+'Data Input'!C34)-'Data Input'!C14)/('Data Input'!C68+'Data Input'!C62+'Data Input'!C61)),"-")</f>
        <v>Neg EBITDA</v>
      </c>
      <c r="F30" s="36" t="str">
        <f>IFERROR(IF(('Data Input'!D68+'Data Input'!D62+'Data Input'!D61)&lt;=0,"Neg EBITDA",(('Data Input'!D32+'Data Input'!D39+'Data Input'!D34)-'Data Input'!D14)/('Data Input'!D68+'Data Input'!D62+'Data Input'!D61)),"-")</f>
        <v>Neg EBITDA</v>
      </c>
      <c r="G30" s="36" t="str">
        <f>IFERROR(IF(('Data Input'!E68+'Data Input'!E62+'Data Input'!E61)&lt;=0,"Neg EBITDA",(('Data Input'!E32+'Data Input'!E39+'Data Input'!E34)-'Data Input'!E14)/('Data Input'!E68+'Data Input'!E62+'Data Input'!E61)),"-")</f>
        <v>Neg EBITDA</v>
      </c>
      <c r="H30" s="36" t="str">
        <f>IFERROR(IF(('Data Input'!F68+'Data Input'!F62+'Data Input'!F61)&lt;=0,"Neg EBITDA",(('Data Input'!F32+'Data Input'!F39+'Data Input'!F34)-'Data Input'!F14)/('Data Input'!F68+'Data Input'!F62+'Data Input'!F61)),"-")</f>
        <v>Neg EBITDA</v>
      </c>
      <c r="I30" s="37" t="str">
        <f t="shared" si="2"/>
        <v>—</v>
      </c>
      <c r="J30" s="38" t="str">
        <f t="shared" si="3"/>
        <v>—</v>
      </c>
      <c r="K30" s="39" t="str">
        <f>IFERROR(IF(H30="-","",IF(ISTEXT(H30),"Negative EBITDA — focus on cash burn rate instead",IF(H30&lt;0,"Net cash exceeds debt — effectively debt-free",IF(H30&lt;=2,"Healthy — all net debt repayable within 2 years of EBITDA",IF(H30&lt;=4,"Moderate — acceptable for credit ratings",IF(H30&lt;=6,"High — rating agencies flag this level","Dangerous — 6x+ leverage, deep distress territory")))))),"")</f>
        <v>Negative EBITDA — focus on cash burn rate instead</v>
      </c>
    </row>
    <row r="31" spans="1:11" ht="15" customHeight="1" x14ac:dyDescent="0.25">
      <c r="A31" s="6" t="s">
        <v>231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ht="15" customHeight="1" x14ac:dyDescent="0.25">
      <c r="A32" s="33">
        <v>23</v>
      </c>
      <c r="B32" s="34" t="s">
        <v>232</v>
      </c>
      <c r="C32" s="35" t="s">
        <v>233</v>
      </c>
      <c r="D32" s="36" t="str">
        <f>IFERROR(IF('Data Input'!B17=0,"No Inv",('Data Input'!B58+'Data Input'!B59)/'Data Input'!B17),"-")</f>
        <v>No Inv</v>
      </c>
      <c r="E32" s="36" t="str">
        <f>IFERROR(IF('Data Input'!C17=0,"No Inv",('Data Input'!C58+'Data Input'!C59)/'Data Input'!C17),"-")</f>
        <v>No Inv</v>
      </c>
      <c r="F32" s="36" t="str">
        <f>IFERROR(IF('Data Input'!D17=0,"No Inv",('Data Input'!D58+'Data Input'!D59)/'Data Input'!D17),"-")</f>
        <v>No Inv</v>
      </c>
      <c r="G32" s="36" t="str">
        <f>IFERROR(IF('Data Input'!E17=0,"No Inv",('Data Input'!E58+'Data Input'!E59)/'Data Input'!E17),"-")</f>
        <v>No Inv</v>
      </c>
      <c r="H32" s="36" t="str">
        <f>IFERROR(IF('Data Input'!F17=0,"No Inv",('Data Input'!F58+'Data Input'!F59)/'Data Input'!F17),"-")</f>
        <v>No Inv</v>
      </c>
      <c r="I32" s="37" t="str">
        <f t="shared" ref="I32:I41" si="4">IFERROR(IF(OR(H32="-",D32="-",ISTEXT(H32),ISTEXT(D32)),"—",IF(H32&gt;D32,"▲",IF(H32&lt;D32,"▼","→"))),"—")</f>
        <v>—</v>
      </c>
      <c r="J32" s="38" t="str">
        <f t="shared" ref="J32:J41" si="5">IFERROR(IF(OR(H32="-",G32="-",ISTEXT(H32),ISTEXT(G32),G32=0),"—",(H32-G32)/ABS(G32)),"—")</f>
        <v>—</v>
      </c>
      <c r="K32" s="39" t="str">
        <f>IFERROR(IF(H32="-","",IF(ISTEXT(H32),"Zero inventory — service/asset-light business",IF(H32&gt;=8,"Very fast turnover — check for stockout risk",IF(H32&gt;=4,"Healthy inventory management",IF(H32&gt;=2,"Slow — capital locked in inventory, check obsolescence","Very slow — potential dead stock, impairment review needed"))))),"")</f>
        <v>Zero inventory — service/asset-light business</v>
      </c>
    </row>
    <row r="33" spans="1:11" ht="15" customHeight="1" x14ac:dyDescent="0.25">
      <c r="A33" s="33">
        <v>24</v>
      </c>
      <c r="B33" s="34" t="s">
        <v>234</v>
      </c>
      <c r="C33" s="35" t="s">
        <v>235</v>
      </c>
      <c r="D33" s="41">
        <f>IFERROR(IF('Data Input'!B17=0,0,'Data Input'!B17*365/('Data Input'!B58+'Data Input'!B59)),"-")</f>
        <v>0</v>
      </c>
      <c r="E33" s="41">
        <f>IFERROR(IF('Data Input'!C17=0,0,'Data Input'!C17*365/('Data Input'!C58+'Data Input'!C59)),"-")</f>
        <v>0</v>
      </c>
      <c r="F33" s="41">
        <f>IFERROR(IF('Data Input'!D17=0,0,'Data Input'!D17*365/('Data Input'!D58+'Data Input'!D59)),"-")</f>
        <v>0</v>
      </c>
      <c r="G33" s="41">
        <f>IFERROR(IF('Data Input'!E17=0,0,'Data Input'!E17*365/('Data Input'!E58+'Data Input'!E59)),"-")</f>
        <v>0</v>
      </c>
      <c r="H33" s="41">
        <f>IFERROR(IF('Data Input'!F17=0,0,'Data Input'!F17*365/('Data Input'!F58+'Data Input'!F59)),"-")</f>
        <v>0</v>
      </c>
      <c r="I33" s="37" t="str">
        <f t="shared" si="4"/>
        <v>→</v>
      </c>
      <c r="J33" s="38" t="str">
        <f t="shared" si="5"/>
        <v>—</v>
      </c>
      <c r="K33" s="39" t="str">
        <f>IFERROR(IF(H33="-","",IF(H33=0,"No inventory",IF(H33&lt;=45,"Fast-moving — efficient procurement",IF(H33&lt;=90,"Normal for manufacturing",IF(H33&lt;=180,"Slow — significant WC locked up","180+ days — investigate slow/dead stock, possible write-down"))))),"")</f>
        <v>No inventory</v>
      </c>
    </row>
    <row r="34" spans="1:11" ht="15" customHeight="1" x14ac:dyDescent="0.25">
      <c r="A34" s="33">
        <v>25</v>
      </c>
      <c r="B34" s="34" t="s">
        <v>236</v>
      </c>
      <c r="C34" s="35" t="s">
        <v>237</v>
      </c>
      <c r="D34" s="36" t="str">
        <f>IFERROR(IF('Data Input'!B16=0,"Cash Biz",'Data Input'!B54/'Data Input'!B16),"-")</f>
        <v>Cash Biz</v>
      </c>
      <c r="E34" s="36" t="str">
        <f>IFERROR(IF('Data Input'!C16=0,"Cash Biz",'Data Input'!C54/'Data Input'!C16),"-")</f>
        <v>Cash Biz</v>
      </c>
      <c r="F34" s="36" t="str">
        <f>IFERROR(IF('Data Input'!D16=0,"Cash Biz",'Data Input'!D54/'Data Input'!D16),"-")</f>
        <v>Cash Biz</v>
      </c>
      <c r="G34" s="36" t="str">
        <f>IFERROR(IF('Data Input'!E16=0,"Cash Biz",'Data Input'!E54/'Data Input'!E16),"-")</f>
        <v>Cash Biz</v>
      </c>
      <c r="H34" s="36" t="str">
        <f>IFERROR(IF('Data Input'!F16=0,"Cash Biz",'Data Input'!F54/'Data Input'!F16),"-")</f>
        <v>Cash Biz</v>
      </c>
      <c r="I34" s="37" t="str">
        <f t="shared" si="4"/>
        <v>—</v>
      </c>
      <c r="J34" s="38" t="str">
        <f t="shared" si="5"/>
        <v>—</v>
      </c>
      <c r="K34" s="39" t="str">
        <f>IFERROR(IF(H34="-","",IF(ISTEXT(H34),"Cash/advance business — no credit risk",IF(H34&gt;=12,"Rapid collection — strong credit control",IF(H34&gt;=6,"Normal turnover",IF(H34&gt;=3,"Slow — extended credit, check customer concentration","Very slow — ageing receivables, review provisioning"))))),"")</f>
        <v>Cash/advance business — no credit risk</v>
      </c>
    </row>
    <row r="35" spans="1:11" ht="15" customHeight="1" x14ac:dyDescent="0.25">
      <c r="A35" s="33">
        <v>26</v>
      </c>
      <c r="B35" s="34" t="s">
        <v>238</v>
      </c>
      <c r="C35" s="35" t="s">
        <v>239</v>
      </c>
      <c r="D35" s="41">
        <f>IFERROR(IF('Data Input'!B16=0,0,'Data Input'!B16*365/'Data Input'!B54),"-")</f>
        <v>0</v>
      </c>
      <c r="E35" s="41">
        <f>IFERROR(IF('Data Input'!C16=0,0,'Data Input'!C16*365/'Data Input'!C54),"-")</f>
        <v>0</v>
      </c>
      <c r="F35" s="41">
        <f>IFERROR(IF('Data Input'!D16=0,0,'Data Input'!D16*365/'Data Input'!D54),"-")</f>
        <v>0</v>
      </c>
      <c r="G35" s="41">
        <f>IFERROR(IF('Data Input'!E16=0,0,'Data Input'!E16*365/'Data Input'!E54),"-")</f>
        <v>0</v>
      </c>
      <c r="H35" s="41">
        <f>IFERROR(IF('Data Input'!F16=0,0,'Data Input'!F16*365/'Data Input'!F54),"-")</f>
        <v>0</v>
      </c>
      <c r="I35" s="37" t="str">
        <f t="shared" si="4"/>
        <v>→</v>
      </c>
      <c r="J35" s="38" t="str">
        <f t="shared" si="5"/>
        <v>—</v>
      </c>
      <c r="K35" s="39" t="str">
        <f>IFERROR(IF(H35="-","",IF(H35=0,"Cash business",IF(H35&lt;=30,"Excellent collection efficiency",IF(H35&lt;=60,"Standard 30-60 day terms",IF(H35&lt;=90,"Extended credit — check if deliberate or collection issue","90+ days — bad debt risk, review ageing schedule urgently"))))),"")</f>
        <v>Cash business</v>
      </c>
    </row>
    <row r="36" spans="1:11" ht="15" customHeight="1" x14ac:dyDescent="0.25">
      <c r="A36" s="33">
        <v>27</v>
      </c>
      <c r="B36" s="34" t="s">
        <v>240</v>
      </c>
      <c r="C36" s="35" t="s">
        <v>241</v>
      </c>
      <c r="D36" s="36" t="str">
        <f>IFERROR(IF('Data Input'!B33=0,"Cash Purch",('Data Input'!B58+'Data Input'!B59)/'Data Input'!B33),"-")</f>
        <v>Cash Purch</v>
      </c>
      <c r="E36" s="36" t="str">
        <f>IFERROR(IF('Data Input'!C33=0,"Cash Purch",('Data Input'!C58+'Data Input'!C59)/'Data Input'!C33),"-")</f>
        <v>Cash Purch</v>
      </c>
      <c r="F36" s="36" t="str">
        <f>IFERROR(IF('Data Input'!D33=0,"Cash Purch",('Data Input'!D58+'Data Input'!D59)/'Data Input'!D33),"-")</f>
        <v>Cash Purch</v>
      </c>
      <c r="G36" s="36" t="str">
        <f>IFERROR(IF('Data Input'!E33=0,"Cash Purch",('Data Input'!E58+'Data Input'!E59)/'Data Input'!E33),"-")</f>
        <v>Cash Purch</v>
      </c>
      <c r="H36" s="36" t="str">
        <f>IFERROR(IF('Data Input'!F33=0,"Cash Purch",('Data Input'!F58+'Data Input'!F59)/'Data Input'!F33),"-")</f>
        <v>Cash Purch</v>
      </c>
      <c r="I36" s="37" t="str">
        <f t="shared" si="4"/>
        <v>—</v>
      </c>
      <c r="J36" s="38" t="str">
        <f t="shared" si="5"/>
        <v>—</v>
      </c>
      <c r="K36" s="39" t="str">
        <f>IFERROR(IF(H36="-","",IF(ISTEXT(H36),"Cash purchases — no supplier credit used",IF(H36&gt;=12,"Paying suppliers fast — good relations, check if optimising credit",IF(H36&gt;=6,"Normal payment cycle",IF(H36&gt;=3,"Stretching payables — check MSME Sec 43B(h) compliance","Very slow — MSME Act disallowance risk + supplier strain"))))),"")</f>
        <v>Cash purchases — no supplier credit used</v>
      </c>
    </row>
    <row r="37" spans="1:11" ht="15" customHeight="1" x14ac:dyDescent="0.25">
      <c r="A37" s="33">
        <v>28</v>
      </c>
      <c r="B37" s="34" t="s">
        <v>242</v>
      </c>
      <c r="C37" s="35" t="s">
        <v>243</v>
      </c>
      <c r="D37" s="41">
        <f>IFERROR(IF('Data Input'!B33=0,0,'Data Input'!B33*365/('Data Input'!B58+'Data Input'!B59)),"-")</f>
        <v>0</v>
      </c>
      <c r="E37" s="41">
        <f>IFERROR(IF('Data Input'!C33=0,0,'Data Input'!C33*365/('Data Input'!C58+'Data Input'!C59)),"-")</f>
        <v>0</v>
      </c>
      <c r="F37" s="41">
        <f>IFERROR(IF('Data Input'!D33=0,0,'Data Input'!D33*365/('Data Input'!D58+'Data Input'!D59)),"-")</f>
        <v>0</v>
      </c>
      <c r="G37" s="41">
        <f>IFERROR(IF('Data Input'!E33=0,0,'Data Input'!E33*365/('Data Input'!E58+'Data Input'!E59)),"-")</f>
        <v>0</v>
      </c>
      <c r="H37" s="41">
        <f>IFERROR(IF('Data Input'!F33=0,0,'Data Input'!F33*365/('Data Input'!F58+'Data Input'!F59)),"-")</f>
        <v>0</v>
      </c>
      <c r="I37" s="37" t="str">
        <f t="shared" si="4"/>
        <v>→</v>
      </c>
      <c r="J37" s="38" t="str">
        <f t="shared" si="5"/>
        <v>—</v>
      </c>
      <c r="K37" s="39" t="str">
        <f>IFERROR(IF(H37="-","",IF(H37=0,"Cash purchases",IF(H37&lt;=30,"Paying fast — strong supplier relations",IF(H37&lt;=60,"Normal credit terms",IF(H37&lt;=90,"Extended — check MSME exposure for Sec 43B(h)","90+ days — supplier strain, supply disruption risk"))))),"")</f>
        <v>Cash purchases</v>
      </c>
    </row>
    <row r="38" spans="1:11" ht="15" customHeight="1" x14ac:dyDescent="0.25">
      <c r="A38" s="33">
        <v>29</v>
      </c>
      <c r="B38" s="34" t="s">
        <v>244</v>
      </c>
      <c r="C38" s="35" t="s">
        <v>245</v>
      </c>
      <c r="D38" s="41">
        <f>IFERROR(D33+D35-D37,"-")</f>
        <v>0</v>
      </c>
      <c r="E38" s="41">
        <f>IFERROR(E33+E35-E37,"-")</f>
        <v>0</v>
      </c>
      <c r="F38" s="41">
        <f>IFERROR(F33+F35-F37,"-")</f>
        <v>0</v>
      </c>
      <c r="G38" s="41">
        <f>IFERROR(G33+G35-G37,"-")</f>
        <v>0</v>
      </c>
      <c r="H38" s="41">
        <f>IFERROR(H33+H35-H37,"-")</f>
        <v>0</v>
      </c>
      <c r="I38" s="37" t="str">
        <f t="shared" si="4"/>
        <v>→</v>
      </c>
      <c r="J38" s="38" t="str">
        <f t="shared" si="5"/>
        <v>—</v>
      </c>
      <c r="K38" s="39" t="str">
        <f>IFERROR(IF(H38="-","",IF(H38&lt;0,"Negative CCC — paid before paying suppliers (exceptional WC efficiency)",IF(H38&lt;=30,"Tight cycle — minimal cash locked in operations",IF(H38&lt;=60,"Normal for manufacturing/trading",IF(H38&lt;=90,"Extended — significant WC financing needed","90+ days — cash-hungry cycle, evaluate SCF/factoring"))))),"")</f>
        <v>Tight cycle — minimal cash locked in operations</v>
      </c>
    </row>
    <row r="39" spans="1:11" ht="15" customHeight="1" x14ac:dyDescent="0.25">
      <c r="A39" s="33">
        <v>30</v>
      </c>
      <c r="B39" s="34" t="s">
        <v>246</v>
      </c>
      <c r="C39" s="35" t="s">
        <v>247</v>
      </c>
      <c r="D39" s="36" t="str">
        <f>IFERROR('Data Input'!B54/'Data Input'!B29,"-")</f>
        <v>-</v>
      </c>
      <c r="E39" s="36" t="str">
        <f>IFERROR('Data Input'!C54/'Data Input'!C29,"-")</f>
        <v>-</v>
      </c>
      <c r="F39" s="36" t="str">
        <f>IFERROR('Data Input'!D54/'Data Input'!D29,"-")</f>
        <v>-</v>
      </c>
      <c r="G39" s="36" t="str">
        <f>IFERROR('Data Input'!E54/'Data Input'!E29,"-")</f>
        <v>-</v>
      </c>
      <c r="H39" s="36" t="str">
        <f>IFERROR('Data Input'!F54/'Data Input'!F29,"-")</f>
        <v>-</v>
      </c>
      <c r="I39" s="37" t="str">
        <f t="shared" si="4"/>
        <v>—</v>
      </c>
      <c r="J39" s="38" t="str">
        <f t="shared" si="5"/>
        <v>—</v>
      </c>
      <c r="K39" s="39" t="str">
        <f>IFERROR(IF(H39="-","",IF(H39&gt;=1.5,"High velocity — typical for trading/FMCG",IF(H39&gt;=0.8,"Good — proportional revenue generation",IF(H39&gt;=0.4,"Moderate — capital-intensive business","Low — check for idle capacity/investment-heavy BS")))),"")</f>
        <v/>
      </c>
    </row>
    <row r="40" spans="1:11" ht="15" customHeight="1" x14ac:dyDescent="0.25">
      <c r="A40" s="33">
        <v>31</v>
      </c>
      <c r="B40" s="34" t="s">
        <v>248</v>
      </c>
      <c r="C40" s="35" t="s">
        <v>249</v>
      </c>
      <c r="D40" s="36" t="str">
        <f>IFERROR(IF('Data Input'!B21=0,"Asset-light",'Data Input'!B54/'Data Input'!B21),"-")</f>
        <v>Asset-light</v>
      </c>
      <c r="E40" s="36" t="str">
        <f>IFERROR(IF('Data Input'!C21=0,"Asset-light",'Data Input'!C54/'Data Input'!C21),"-")</f>
        <v>Asset-light</v>
      </c>
      <c r="F40" s="36" t="str">
        <f>IFERROR(IF('Data Input'!D21=0,"Asset-light",'Data Input'!D54/'Data Input'!D21),"-")</f>
        <v>Asset-light</v>
      </c>
      <c r="G40" s="36" t="str">
        <f>IFERROR(IF('Data Input'!E21=0,"Asset-light",'Data Input'!E54/'Data Input'!E21),"-")</f>
        <v>Asset-light</v>
      </c>
      <c r="H40" s="36" t="str">
        <f>IFERROR(IF('Data Input'!F21=0,"Asset-light",'Data Input'!F54/'Data Input'!F21),"-")</f>
        <v>Asset-light</v>
      </c>
      <c r="I40" s="37" t="str">
        <f t="shared" si="4"/>
        <v>—</v>
      </c>
      <c r="J40" s="38" t="str">
        <f t="shared" si="5"/>
        <v>—</v>
      </c>
      <c r="K40" s="39" t="str">
        <f>IFERROR(IF(H40="-","",IF(ISTEXT(H40),"Asset-light model — minimal fixed assets",IF(H40&gt;=5,"Very high utilisation — near capacity? Check CapEx plans",IF(H40&gt;=2,"Good utilisation",IF(H40&gt;=1,"Moderate — new assets may temporarily depress this","Low — evaluate capacity rationalisation"))))),"")</f>
        <v>Asset-light model — minimal fixed assets</v>
      </c>
    </row>
    <row r="41" spans="1:11" ht="15" customHeight="1" x14ac:dyDescent="0.25">
      <c r="A41" s="33">
        <v>32</v>
      </c>
      <c r="B41" s="34" t="s">
        <v>250</v>
      </c>
      <c r="C41" s="35" t="s">
        <v>251</v>
      </c>
      <c r="D41" s="36" t="str">
        <f>IFERROR(IF(('Data Input'!B19-'Data Input'!B37)&lt;=0,"Neg WC",'Data Input'!B54/('Data Input'!B19-'Data Input'!B37)),"-")</f>
        <v>Neg WC</v>
      </c>
      <c r="E41" s="36" t="str">
        <f>IFERROR(IF(('Data Input'!C19-'Data Input'!C37)&lt;=0,"Neg WC",'Data Input'!C54/('Data Input'!C19-'Data Input'!C37)),"-")</f>
        <v>Neg WC</v>
      </c>
      <c r="F41" s="36" t="str">
        <f>IFERROR(IF(('Data Input'!D19-'Data Input'!D37)&lt;=0,"Neg WC",'Data Input'!D54/('Data Input'!D19-'Data Input'!D37)),"-")</f>
        <v>Neg WC</v>
      </c>
      <c r="G41" s="36" t="str">
        <f>IFERROR(IF(('Data Input'!E19-'Data Input'!E37)&lt;=0,"Neg WC",'Data Input'!E54/('Data Input'!E19-'Data Input'!E37)),"-")</f>
        <v>Neg WC</v>
      </c>
      <c r="H41" s="36" t="str">
        <f>IFERROR(IF(('Data Input'!F19-'Data Input'!F37)&lt;=0,"Neg WC",'Data Input'!F54/('Data Input'!F19-'Data Input'!F37)),"-")</f>
        <v>Neg WC</v>
      </c>
      <c r="I41" s="37" t="str">
        <f t="shared" si="4"/>
        <v>—</v>
      </c>
      <c r="J41" s="38" t="str">
        <f t="shared" si="5"/>
        <v>—</v>
      </c>
      <c r="K41" s="39" t="str">
        <f>IFERROR(IF(H41="-","",IF(ISTEXT(H41),"Negative WC — operating on supplier credit",IF(H41&gt;=10,"Extremely efficient — or possibly undercapitalised",IF(H41&gt;=4,"Good WC productivity","Low — excess WC relative to sales")))),"")</f>
        <v>Negative WC — operating on supplier credit</v>
      </c>
    </row>
    <row r="42" spans="1:11" ht="15" customHeight="1" x14ac:dyDescent="0.25">
      <c r="A42" s="6" t="s">
        <v>252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ht="15" customHeight="1" x14ac:dyDescent="0.25">
      <c r="A43" s="33">
        <v>33</v>
      </c>
      <c r="B43" s="34" t="s">
        <v>253</v>
      </c>
      <c r="C43" s="35" t="s">
        <v>254</v>
      </c>
      <c r="D43" s="36" t="str">
        <f>IFERROR('Data Input'!B82/'Data Input'!B37,"-")</f>
        <v>-</v>
      </c>
      <c r="E43" s="36" t="str">
        <f>IFERROR('Data Input'!C82/'Data Input'!C37,"-")</f>
        <v>-</v>
      </c>
      <c r="F43" s="36" t="str">
        <f>IFERROR('Data Input'!D82/'Data Input'!D37,"-")</f>
        <v>-</v>
      </c>
      <c r="G43" s="36" t="str">
        <f>IFERROR('Data Input'!E82/'Data Input'!E37,"-")</f>
        <v>-</v>
      </c>
      <c r="H43" s="36" t="str">
        <f>IFERROR('Data Input'!F82/'Data Input'!F37,"-")</f>
        <v>-</v>
      </c>
      <c r="I43" s="37" t="str">
        <f t="shared" ref="I43:I48" si="6">IFERROR(IF(OR(H43="-",D43="-",ISTEXT(H43),ISTEXT(D43)),"—",IF(H43&gt;D43,"▲",IF(H43&lt;D43,"▼","→"))),"—")</f>
        <v>—</v>
      </c>
      <c r="J43" s="38" t="str">
        <f t="shared" ref="J43:J48" si="7">IFERROR(IF(OR(H43="-",G43="-",ISTEXT(H43),ISTEXT(G43),G43=0),"—",(H43-G43)/ABS(G43)),"—")</f>
        <v>—</v>
      </c>
      <c r="K43" s="39" t="str">
        <f>IFERROR(IF(H43="-","",IF(H43&gt;=1,"Operations cover all current obligations from cash",IF(H43&gt;=0.5,"Partial cover — needs supplementary financing",IF(H43&gt;0,"Weak — CFO barely dents CL","Negative CFO — ops consuming cash, CL unfunded from ops")))),"")</f>
        <v/>
      </c>
    </row>
    <row r="44" spans="1:11" ht="15" customHeight="1" x14ac:dyDescent="0.25">
      <c r="A44" s="33">
        <v>34</v>
      </c>
      <c r="B44" s="34" t="s">
        <v>255</v>
      </c>
      <c r="C44" s="35" t="s">
        <v>256</v>
      </c>
      <c r="D44" s="40">
        <f>IFERROR('Data Input'!B82-'Data Input'!B87,"-")</f>
        <v>0</v>
      </c>
      <c r="E44" s="40">
        <f>IFERROR('Data Input'!C82-'Data Input'!C87,"-")</f>
        <v>0</v>
      </c>
      <c r="F44" s="40">
        <f>IFERROR('Data Input'!D82-'Data Input'!D87,"-")</f>
        <v>0</v>
      </c>
      <c r="G44" s="40">
        <f>IFERROR('Data Input'!E82-'Data Input'!E87,"-")</f>
        <v>0</v>
      </c>
      <c r="H44" s="40">
        <f>IFERROR('Data Input'!F82-'Data Input'!F87,"-")</f>
        <v>0</v>
      </c>
      <c r="I44" s="37" t="str">
        <f t="shared" si="6"/>
        <v>→</v>
      </c>
      <c r="J44" s="38" t="str">
        <f t="shared" si="7"/>
        <v>—</v>
      </c>
      <c r="K44" s="39" t="str">
        <f>IFERROR(IF(H44="-","",IF(H44&gt;0,"Positive — cash available for debt repayment, dividends, or growth",IF(H44=0,"Breakeven — all CFO consumed by CapEx","Negative — spending exceeds operating cash"))),"")</f>
        <v>Breakeven — all CFO consumed by CapEx</v>
      </c>
    </row>
    <row r="45" spans="1:11" ht="15" customHeight="1" x14ac:dyDescent="0.25">
      <c r="A45" s="33">
        <v>35</v>
      </c>
      <c r="B45" s="34" t="s">
        <v>257</v>
      </c>
      <c r="C45" s="35" t="s">
        <v>258</v>
      </c>
      <c r="D45" s="42" t="str">
        <f>IFERROR(IF('Data Input'!B93=0,"No MCap",('Data Input'!B82-'Data Input'!B87)/'Data Input'!B93),"-")</f>
        <v>No MCap</v>
      </c>
      <c r="E45" s="42" t="str">
        <f>IFERROR(IF('Data Input'!C93=0,"No MCap",('Data Input'!C82-'Data Input'!C87)/'Data Input'!C93),"-")</f>
        <v>No MCap</v>
      </c>
      <c r="F45" s="42" t="str">
        <f>IFERROR(IF('Data Input'!D93=0,"No MCap",('Data Input'!D82-'Data Input'!D87)/'Data Input'!D93),"-")</f>
        <v>No MCap</v>
      </c>
      <c r="G45" s="42" t="str">
        <f>IFERROR(IF('Data Input'!E93=0,"No MCap",('Data Input'!E82-'Data Input'!E87)/'Data Input'!E93),"-")</f>
        <v>No MCap</v>
      </c>
      <c r="H45" s="42" t="str">
        <f>IFERROR(IF('Data Input'!F93=0,"No MCap",('Data Input'!F82-'Data Input'!F87)/'Data Input'!F93),"-")</f>
        <v>No MCap</v>
      </c>
      <c r="I45" s="37" t="str">
        <f t="shared" si="6"/>
        <v>—</v>
      </c>
      <c r="J45" s="38" t="str">
        <f t="shared" si="7"/>
        <v>—</v>
      </c>
      <c r="K45" s="39" t="str">
        <f>IFERROR(IF(H45="-","",IF(ISTEXT(H45),"Market cap not provided",IF(H45&gt;=0.08,"High yield — stock may be undervalued",IF(H45&gt;=0.04,"Decent real cash return to equity holders",IF(H45&gt;0,"Low — value driven by growth expectation, not current cash","Negative — burning cash, value depends on future growth"))))),"")</f>
        <v>Market cap not provided</v>
      </c>
    </row>
    <row r="46" spans="1:11" ht="15" customHeight="1" x14ac:dyDescent="0.25">
      <c r="A46" s="33">
        <v>36</v>
      </c>
      <c r="B46" s="34" t="s">
        <v>259</v>
      </c>
      <c r="C46" s="35" t="s">
        <v>260</v>
      </c>
      <c r="D46" s="42" t="str">
        <f>IFERROR(IF(('Data Input'!B32+'Data Input'!B39+'Data Input'!B34)=0,"Debt Free",'Data Input'!B82/('Data Input'!B32+'Data Input'!B39+'Data Input'!B34)),"-")</f>
        <v>Debt Free</v>
      </c>
      <c r="E46" s="42" t="str">
        <f>IFERROR(IF(('Data Input'!C32+'Data Input'!C39+'Data Input'!C34)=0,"Debt Free",'Data Input'!C82/('Data Input'!C32+'Data Input'!C39+'Data Input'!C34)),"-")</f>
        <v>Debt Free</v>
      </c>
      <c r="F46" s="42" t="str">
        <f>IFERROR(IF(('Data Input'!D32+'Data Input'!D39+'Data Input'!D34)=0,"Debt Free",'Data Input'!D82/('Data Input'!D32+'Data Input'!D39+'Data Input'!D34)),"-")</f>
        <v>Debt Free</v>
      </c>
      <c r="G46" s="42" t="str">
        <f>IFERROR(IF(('Data Input'!E32+'Data Input'!E39+'Data Input'!E34)=0,"Debt Free",'Data Input'!E82/('Data Input'!E32+'Data Input'!E39+'Data Input'!E34)),"-")</f>
        <v>Debt Free</v>
      </c>
      <c r="H46" s="42" t="str">
        <f>IFERROR(IF(('Data Input'!F32+'Data Input'!F39+'Data Input'!F34)=0,"Debt Free",'Data Input'!F82/('Data Input'!F32+'Data Input'!F39+'Data Input'!F34)),"-")</f>
        <v>Debt Free</v>
      </c>
      <c r="I46" s="37" t="str">
        <f t="shared" si="6"/>
        <v>—</v>
      </c>
      <c r="J46" s="38" t="str">
        <f t="shared" si="7"/>
        <v>—</v>
      </c>
      <c r="K46" s="39" t="str">
        <f>IFERROR(IF(H46="-","",IF(ISTEXT(H46),"No debt — fully equity funded",IF(H46&gt;=0.4,"Strong — could repay all debt within 2-3 years from CFO",IF(H46&gt;=0.2,"Moderate — debt repayable in 5 years",IF(H46&gt;0,"Weak — 5+ years of CFO to clear debt","Negative CFO — debt only serviceable via refinancing/asset sales"))))),"")</f>
        <v>No debt — fully equity funded</v>
      </c>
    </row>
    <row r="47" spans="1:11" ht="15" customHeight="1" x14ac:dyDescent="0.25">
      <c r="A47" s="33">
        <v>37</v>
      </c>
      <c r="B47" s="34" t="s">
        <v>261</v>
      </c>
      <c r="C47" s="35" t="s">
        <v>262</v>
      </c>
      <c r="D47" s="36" t="str">
        <f>IFERROR(IF('Data Input'!B70=0,"Zero PAT",'Data Input'!B82/'Data Input'!B70),"-")</f>
        <v>Zero PAT</v>
      </c>
      <c r="E47" s="36" t="str">
        <f>IFERROR(IF('Data Input'!C70=0,"Zero PAT",'Data Input'!C82/'Data Input'!C70),"-")</f>
        <v>Zero PAT</v>
      </c>
      <c r="F47" s="36" t="str">
        <f>IFERROR(IF('Data Input'!D70=0,"Zero PAT",'Data Input'!D82/'Data Input'!D70),"-")</f>
        <v>Zero PAT</v>
      </c>
      <c r="G47" s="36" t="str">
        <f>IFERROR(IF('Data Input'!E70=0,"Zero PAT",'Data Input'!E82/'Data Input'!E70),"-")</f>
        <v>Zero PAT</v>
      </c>
      <c r="H47" s="36" t="str">
        <f>IFERROR(IF('Data Input'!F70=0,"Zero PAT",'Data Input'!F82/'Data Input'!F70),"-")</f>
        <v>Zero PAT</v>
      </c>
      <c r="I47" s="37" t="str">
        <f t="shared" si="6"/>
        <v>—</v>
      </c>
      <c r="J47" s="38" t="str">
        <f t="shared" si="7"/>
        <v>—</v>
      </c>
      <c r="K47" s="39" t="str">
        <f>IFERROR(IF(H47="-","",IF(ISTEXT(H47),"Zero profit base",IF(H47&gt;=1.2,"CFO exceeds PAT — high quality, conservative accounting",IF(H47&gt;=0.8,"Healthy — most profit backed by cash",IF(H47&gt;=0.5,"Gap — check WC build-up or non-cash items","Low — profits not converting to cash. Earnings quality red flag"))))),"")</f>
        <v>Zero profit base</v>
      </c>
    </row>
    <row r="48" spans="1:11" ht="15" customHeight="1" x14ac:dyDescent="0.25">
      <c r="A48" s="33">
        <v>38</v>
      </c>
      <c r="B48" s="34" t="s">
        <v>263</v>
      </c>
      <c r="C48" s="35" t="s">
        <v>264</v>
      </c>
      <c r="D48" s="42" t="str">
        <f>IFERROR('Data Input'!B87/'Data Input'!B54,"-")</f>
        <v>-</v>
      </c>
      <c r="E48" s="42" t="str">
        <f>IFERROR('Data Input'!C87/'Data Input'!C54,"-")</f>
        <v>-</v>
      </c>
      <c r="F48" s="42" t="str">
        <f>IFERROR('Data Input'!D87/'Data Input'!D54,"-")</f>
        <v>-</v>
      </c>
      <c r="G48" s="42" t="str">
        <f>IFERROR('Data Input'!E87/'Data Input'!E54,"-")</f>
        <v>-</v>
      </c>
      <c r="H48" s="42" t="str">
        <f>IFERROR('Data Input'!F87/'Data Input'!F54,"-")</f>
        <v>-</v>
      </c>
      <c r="I48" s="37" t="str">
        <f t="shared" si="6"/>
        <v>—</v>
      </c>
      <c r="J48" s="38" t="str">
        <f t="shared" si="7"/>
        <v>—</v>
      </c>
      <c r="K48" s="39" t="str">
        <f>IFERROR(IF(H48="-","",IF(H48&gt;=0.2,"Heavy reinvestment — growth phase or capital-intensive sector",IF(H48&gt;=0.08,"Moderate — maintenance + some growth CapEx",IF(H48&gt;=0.03,"Low — mature business, minimal reinvestment","Very low — check if underinvesting (PPE ageing?)")))),"")</f>
        <v/>
      </c>
    </row>
    <row r="49" spans="1:11" ht="15" customHeight="1" x14ac:dyDescent="0.25">
      <c r="A49" s="6" t="s">
        <v>265</v>
      </c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33">
        <v>39</v>
      </c>
      <c r="B50" s="34" t="s">
        <v>266</v>
      </c>
      <c r="C50" s="35" t="s">
        <v>267</v>
      </c>
      <c r="D50" s="36" t="str">
        <f>IFERROR(IF('Data Input'!B75&lt;=0,"Loss",'Data Input'!B92/'Data Input'!B75),"-")</f>
        <v>Loss</v>
      </c>
      <c r="E50" s="36" t="str">
        <f>IFERROR(IF('Data Input'!C75&lt;=0,"Loss",'Data Input'!C92/'Data Input'!C75),"-")</f>
        <v>Loss</v>
      </c>
      <c r="F50" s="36" t="str">
        <f>IFERROR(IF('Data Input'!D75&lt;=0,"Loss",'Data Input'!D92/'Data Input'!D75),"-")</f>
        <v>Loss</v>
      </c>
      <c r="G50" s="36" t="str">
        <f>IFERROR(IF('Data Input'!E75&lt;=0,"Loss",'Data Input'!E92/'Data Input'!E75),"-")</f>
        <v>Loss</v>
      </c>
      <c r="H50" s="36" t="str">
        <f>IFERROR(IF('Data Input'!F75&lt;=0,"Loss",'Data Input'!F92/'Data Input'!F75),"-")</f>
        <v>Loss</v>
      </c>
      <c r="I50" s="37" t="str">
        <f t="shared" ref="I50:I56" si="8">IFERROR(IF(OR(H50="-",D50="-",ISTEXT(H50),ISTEXT(D50)),"—",IF(H50&gt;D50,"▲",IF(H50&lt;D50,"▼","→"))),"—")</f>
        <v>—</v>
      </c>
      <c r="J50" s="38" t="str">
        <f t="shared" ref="J50:J56" si="9">IFERROR(IF(OR(H50="-",G50="-",ISTEXT(H50),ISTEXT(G50),G50=0),"—",(H50-G50)/ABS(G50)),"—")</f>
        <v>—</v>
      </c>
      <c r="K50" s="39" t="str">
        <f>IFERROR(IF(H50="-","",IF(ISTEXT(H50),"Negative/zero EPS — P/E meaningless, use EV/Revenue",IF(H50&gt;=50,"Very expensive — market pricing exceptional growth",IF(H50&gt;=25,"Premium — justified only if 20%+ earnings growth",IF(H50&gt;=15,"Fair — in line with market for steady growers",IF(H50&gt;=8,"Cheap — either undervalued or market sees risk","Very low — possible value trap, investigate")))))),"")</f>
        <v>Negative/zero EPS — P/E meaningless, use EV/Revenue</v>
      </c>
    </row>
    <row r="51" spans="1:11" ht="15" customHeight="1" x14ac:dyDescent="0.25">
      <c r="A51" s="33">
        <v>40</v>
      </c>
      <c r="B51" s="34" t="s">
        <v>268</v>
      </c>
      <c r="C51" s="35" t="s">
        <v>269</v>
      </c>
      <c r="D51" s="36" t="str">
        <f>IFERROR(IF('Data Input'!B47&lt;=0,"Neg BV",'Data Input'!B93/'Data Input'!B47),"-")</f>
        <v>Neg BV</v>
      </c>
      <c r="E51" s="36" t="str">
        <f>IFERROR(IF('Data Input'!C47&lt;=0,"Neg BV",'Data Input'!C93/'Data Input'!C47),"-")</f>
        <v>Neg BV</v>
      </c>
      <c r="F51" s="36" t="str">
        <f>IFERROR(IF('Data Input'!D47&lt;=0,"Neg BV",'Data Input'!D93/'Data Input'!D47),"-")</f>
        <v>Neg BV</v>
      </c>
      <c r="G51" s="36" t="str">
        <f>IFERROR(IF('Data Input'!E47&lt;=0,"Neg BV",'Data Input'!E93/'Data Input'!E47),"-")</f>
        <v>Neg BV</v>
      </c>
      <c r="H51" s="36" t="str">
        <f>IFERROR(IF('Data Input'!F47&lt;=0,"Neg BV",'Data Input'!F93/'Data Input'!F47),"-")</f>
        <v>Neg BV</v>
      </c>
      <c r="I51" s="37" t="str">
        <f t="shared" si="8"/>
        <v>—</v>
      </c>
      <c r="J51" s="38" t="str">
        <f t="shared" si="9"/>
        <v>—</v>
      </c>
      <c r="K51" s="39" t="str">
        <f>IFERROR(IF(H51="-","",IF(ISTEXT(H51),"Negative book value",IF(H51&gt;=5,"5x+ book — intangible value dominates (brand, IP)",IF(H51&gt;=2,"Premium — healthy for ROE-rich companies",IF(H51&gt;=1,"Near book — fairly valued on asset basis","Below book — either distressed or hidden value"))))),"")</f>
        <v>Negative book value</v>
      </c>
    </row>
    <row r="52" spans="1:11" ht="15" customHeight="1" x14ac:dyDescent="0.25">
      <c r="A52" s="33">
        <v>41</v>
      </c>
      <c r="B52" s="34" t="s">
        <v>270</v>
      </c>
      <c r="C52" s="35" t="s">
        <v>271</v>
      </c>
      <c r="D52" s="36" t="str">
        <f>IFERROR(IF(('Data Input'!B68+'Data Input'!B62+'Data Input'!B61)&lt;=0,"Neg EBITDA",'Data Input'!B94/('Data Input'!B68+'Data Input'!B62+'Data Input'!B61)),"-")</f>
        <v>Neg EBITDA</v>
      </c>
      <c r="E52" s="36" t="str">
        <f>IFERROR(IF(('Data Input'!C68+'Data Input'!C62+'Data Input'!C61)&lt;=0,"Neg EBITDA",'Data Input'!C94/('Data Input'!C68+'Data Input'!C62+'Data Input'!C61)),"-")</f>
        <v>Neg EBITDA</v>
      </c>
      <c r="F52" s="36" t="str">
        <f>IFERROR(IF(('Data Input'!D68+'Data Input'!D62+'Data Input'!D61)&lt;=0,"Neg EBITDA",'Data Input'!D94/('Data Input'!D68+'Data Input'!D62+'Data Input'!D61)),"-")</f>
        <v>Neg EBITDA</v>
      </c>
      <c r="G52" s="36" t="str">
        <f>IFERROR(IF(('Data Input'!E68+'Data Input'!E62+'Data Input'!E61)&lt;=0,"Neg EBITDA",'Data Input'!E94/('Data Input'!E68+'Data Input'!E62+'Data Input'!E61)),"-")</f>
        <v>Neg EBITDA</v>
      </c>
      <c r="H52" s="36" t="str">
        <f>IFERROR(IF(('Data Input'!F68+'Data Input'!F62+'Data Input'!F61)&lt;=0,"Neg EBITDA",'Data Input'!F94/('Data Input'!F68+'Data Input'!F62+'Data Input'!F61)),"-")</f>
        <v>Neg EBITDA</v>
      </c>
      <c r="I52" s="37" t="str">
        <f t="shared" si="8"/>
        <v>—</v>
      </c>
      <c r="J52" s="38" t="str">
        <f t="shared" si="9"/>
        <v>—</v>
      </c>
      <c r="K52" s="39" t="str">
        <f>IFERROR(IF(H52="-","",IF(ISTEXT(H52),"Negative EBITDA — use EV/Revenue",IF(H52&gt;=25,"Expensive — expects significant growth/margin expansion",IF(H52&gt;=15,"Premium — typical for quality mid/large caps",IF(H52&gt;=8,"Fair for stable profitable businesses","Low — either undervalued or market pricing decline"))))),"")</f>
        <v>Negative EBITDA — use EV/Revenue</v>
      </c>
    </row>
    <row r="53" spans="1:11" ht="15" customHeight="1" x14ac:dyDescent="0.25">
      <c r="A53" s="33">
        <v>42</v>
      </c>
      <c r="B53" s="34" t="s">
        <v>272</v>
      </c>
      <c r="C53" s="35" t="s">
        <v>273</v>
      </c>
      <c r="D53" s="36" t="str">
        <f>IFERROR(IF('Data Input'!B54=0,"-",'Data Input'!B94/'Data Input'!B54),"-")</f>
        <v>-</v>
      </c>
      <c r="E53" s="36" t="str">
        <f>IFERROR(IF('Data Input'!C54=0,"-",'Data Input'!C94/'Data Input'!C54),"-")</f>
        <v>-</v>
      </c>
      <c r="F53" s="36" t="str">
        <f>IFERROR(IF('Data Input'!D54=0,"-",'Data Input'!D94/'Data Input'!D54),"-")</f>
        <v>-</v>
      </c>
      <c r="G53" s="36" t="str">
        <f>IFERROR(IF('Data Input'!E54=0,"-",'Data Input'!E94/'Data Input'!E54),"-")</f>
        <v>-</v>
      </c>
      <c r="H53" s="36" t="str">
        <f>IFERROR(IF('Data Input'!F54=0,"-",'Data Input'!F94/'Data Input'!F54),"-")</f>
        <v>-</v>
      </c>
      <c r="I53" s="37" t="str">
        <f t="shared" si="8"/>
        <v>—</v>
      </c>
      <c r="J53" s="38" t="str">
        <f t="shared" si="9"/>
        <v>—</v>
      </c>
      <c r="K53" s="39" t="str">
        <f>IFERROR(IF(H53="-","",IF(H53&gt;=5,"High — only justified for high-growth SaaS/platform",IF(H53&gt;=2,"Market sees margin expansion ahead",IF(H53&gt;=1,"Fair for established businesses","Below revenue — market skeptical about profitability")))),"")</f>
        <v/>
      </c>
    </row>
    <row r="54" spans="1:11" ht="15" customHeight="1" x14ac:dyDescent="0.25">
      <c r="A54" s="33">
        <v>43</v>
      </c>
      <c r="B54" s="34" t="s">
        <v>274</v>
      </c>
      <c r="C54" s="35" t="s">
        <v>275</v>
      </c>
      <c r="D54" s="42" t="str">
        <f>IFERROR(IF('Data Input'!B92=0,"-",'Data Input'!B77/'Data Input'!B92),"-")</f>
        <v>-</v>
      </c>
      <c r="E54" s="42" t="str">
        <f>IFERROR(IF('Data Input'!C92=0,"-",'Data Input'!C77/'Data Input'!C92),"-")</f>
        <v>-</v>
      </c>
      <c r="F54" s="42" t="str">
        <f>IFERROR(IF('Data Input'!D92=0,"-",'Data Input'!D77/'Data Input'!D92),"-")</f>
        <v>-</v>
      </c>
      <c r="G54" s="42" t="str">
        <f>IFERROR(IF('Data Input'!E92=0,"-",'Data Input'!E77/'Data Input'!E92),"-")</f>
        <v>-</v>
      </c>
      <c r="H54" s="42" t="str">
        <f>IFERROR(IF('Data Input'!F92=0,"-",'Data Input'!F77/'Data Input'!F92),"-")</f>
        <v>-</v>
      </c>
      <c r="I54" s="37" t="str">
        <f t="shared" si="8"/>
        <v>—</v>
      </c>
      <c r="J54" s="38" t="str">
        <f t="shared" si="9"/>
        <v>—</v>
      </c>
      <c r="K54" s="39" t="str">
        <f>IFERROR(IF(H54="-","",IF(H54&gt;=0.05,"High yield — check payout sustainability",IF(H54&gt;=0.02,"Moderate — balancing reinvestment and returns",IF(H54&gt;0,"Low — company retaining most earnings for growth","Zero dividends")))),"")</f>
        <v/>
      </c>
    </row>
    <row r="55" spans="1:11" ht="15" customHeight="1" x14ac:dyDescent="0.25">
      <c r="A55" s="33">
        <v>44</v>
      </c>
      <c r="B55" s="34" t="s">
        <v>276</v>
      </c>
      <c r="C55" s="35" t="s">
        <v>277</v>
      </c>
      <c r="D55" s="42" t="str">
        <f>IFERROR(IF('Data Input'!B75&lt;=0,"No Earnings",'Data Input'!B77/'Data Input'!B75),"-")</f>
        <v>No Earnings</v>
      </c>
      <c r="E55" s="42" t="str">
        <f>IFERROR(IF('Data Input'!C75&lt;=0,"No Earnings",'Data Input'!C77/'Data Input'!C75),"-")</f>
        <v>No Earnings</v>
      </c>
      <c r="F55" s="42" t="str">
        <f>IFERROR(IF('Data Input'!D75&lt;=0,"No Earnings",'Data Input'!D77/'Data Input'!D75),"-")</f>
        <v>No Earnings</v>
      </c>
      <c r="G55" s="42" t="str">
        <f>IFERROR(IF('Data Input'!E75&lt;=0,"No Earnings",'Data Input'!E77/'Data Input'!E75),"-")</f>
        <v>No Earnings</v>
      </c>
      <c r="H55" s="42" t="str">
        <f>IFERROR(IF('Data Input'!F75&lt;=0,"No Earnings",'Data Input'!F77/'Data Input'!F75),"-")</f>
        <v>No Earnings</v>
      </c>
      <c r="I55" s="37" t="str">
        <f t="shared" si="8"/>
        <v>—</v>
      </c>
      <c r="J55" s="38" t="str">
        <f t="shared" si="9"/>
        <v>—</v>
      </c>
      <c r="K55" s="39" t="str">
        <f>IFERROR(IF(H55="-","",IF(ISTEXT(H55),"No positive earnings to distribute",IF(H55&gt;=0.8,"80%+ payout — check sustainability",IF(H55&gt;=0.4,"Balanced payout and retention",IF(H55&gt;0,"Conservative — prioritising growth reinvestment","Zero payout"))))),"")</f>
        <v>No positive earnings to distribute</v>
      </c>
    </row>
    <row r="56" spans="1:11" ht="15" customHeight="1" x14ac:dyDescent="0.25">
      <c r="A56" s="33">
        <v>45</v>
      </c>
      <c r="B56" s="34" t="s">
        <v>278</v>
      </c>
      <c r="C56" s="35" t="s">
        <v>279</v>
      </c>
      <c r="D56" s="42" t="str">
        <f>IFERROR(IF('Data Input'!B92=0,"-",'Data Input'!B75/'Data Input'!B92),"-")</f>
        <v>-</v>
      </c>
      <c r="E56" s="42" t="str">
        <f>IFERROR(IF('Data Input'!C92=0,"-",'Data Input'!C75/'Data Input'!C92),"-")</f>
        <v>-</v>
      </c>
      <c r="F56" s="42" t="str">
        <f>IFERROR(IF('Data Input'!D92=0,"-",'Data Input'!D75/'Data Input'!D92),"-")</f>
        <v>-</v>
      </c>
      <c r="G56" s="42" t="str">
        <f>IFERROR(IF('Data Input'!E92=0,"-",'Data Input'!E75/'Data Input'!E92),"-")</f>
        <v>-</v>
      </c>
      <c r="H56" s="42" t="str">
        <f>IFERROR(IF('Data Input'!F92=0,"-",'Data Input'!F75/'Data Input'!F92),"-")</f>
        <v>-</v>
      </c>
      <c r="I56" s="37" t="str">
        <f t="shared" si="8"/>
        <v>—</v>
      </c>
      <c r="J56" s="38" t="str">
        <f t="shared" si="9"/>
        <v>—</v>
      </c>
      <c r="K56" s="39" t="str">
        <f>IFERROR(IF(H56="-","",IF(H56&gt;=0.1,"High — cheap vs earnings, compare with bond yields",IF(H56&gt;=0.05,"Moderate — in line with risk premium",IF(H56&gt;0,"Low — premium over current earnings","Negative/zero earnings")))),"")</f>
        <v/>
      </c>
    </row>
    <row r="57" spans="1:11" ht="15" customHeight="1" x14ac:dyDescent="0.25">
      <c r="A57" s="6" t="s">
        <v>280</v>
      </c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 x14ac:dyDescent="0.25">
      <c r="A58" s="33">
        <v>46</v>
      </c>
      <c r="B58" s="34" t="s">
        <v>281</v>
      </c>
      <c r="C58" s="35" t="s">
        <v>205</v>
      </c>
      <c r="D58" s="42" t="str">
        <f>IFERROR('Data Input'!B70/'Data Input'!B54,"-")</f>
        <v>-</v>
      </c>
      <c r="E58" s="42" t="str">
        <f>IFERROR('Data Input'!C70/'Data Input'!C54,"-")</f>
        <v>-</v>
      </c>
      <c r="F58" s="42" t="str">
        <f>IFERROR('Data Input'!D70/'Data Input'!D54,"-")</f>
        <v>-</v>
      </c>
      <c r="G58" s="42" t="str">
        <f>IFERROR('Data Input'!E70/'Data Input'!E54,"-")</f>
        <v>-</v>
      </c>
      <c r="H58" s="42" t="str">
        <f>IFERROR('Data Input'!F70/'Data Input'!F54,"-")</f>
        <v>-</v>
      </c>
      <c r="I58" s="37" t="str">
        <f t="shared" ref="I58:I63" si="10">IFERROR(IF(OR(H58="-",D58="-",ISTEXT(H58),ISTEXT(D58)),"—",IF(H58&gt;D58,"▲",IF(H58&lt;D58,"▼","→"))),"—")</f>
        <v>—</v>
      </c>
      <c r="J58" s="38" t="str">
        <f t="shared" ref="J58:J63" si="11">IFERROR(IF(OR(H58="-",G58="-",ISTEXT(H58),ISTEXT(G58),G58=0),"—",(H58-G58)/ABS(G58)),"—")</f>
        <v>—</v>
      </c>
      <c r="K58" s="39" t="str">
        <f>IFERROR(IF(H58="-","","Factor 1: How much of each revenue rupee becomes profit"),"")</f>
        <v/>
      </c>
    </row>
    <row r="59" spans="1:11" ht="15" customHeight="1" x14ac:dyDescent="0.25">
      <c r="A59" s="33">
        <v>47</v>
      </c>
      <c r="B59" s="34" t="s">
        <v>282</v>
      </c>
      <c r="C59" s="35" t="s">
        <v>247</v>
      </c>
      <c r="D59" s="36" t="str">
        <f>IFERROR('Data Input'!B54/'Data Input'!B29,"-")</f>
        <v>-</v>
      </c>
      <c r="E59" s="36" t="str">
        <f>IFERROR('Data Input'!C54/'Data Input'!C29,"-")</f>
        <v>-</v>
      </c>
      <c r="F59" s="36" t="str">
        <f>IFERROR('Data Input'!D54/'Data Input'!D29,"-")</f>
        <v>-</v>
      </c>
      <c r="G59" s="36" t="str">
        <f>IFERROR('Data Input'!E54/'Data Input'!E29,"-")</f>
        <v>-</v>
      </c>
      <c r="H59" s="36" t="str">
        <f>IFERROR('Data Input'!F54/'Data Input'!F29,"-")</f>
        <v>-</v>
      </c>
      <c r="I59" s="37" t="str">
        <f t="shared" si="10"/>
        <v>—</v>
      </c>
      <c r="J59" s="38" t="str">
        <f t="shared" si="11"/>
        <v>—</v>
      </c>
      <c r="K59" s="39" t="str">
        <f>IFERROR(IF(H59="-","","Factor 2: Revenue generated per rupee of assets"),"")</f>
        <v/>
      </c>
    </row>
    <row r="60" spans="1:11" ht="15" customHeight="1" x14ac:dyDescent="0.25">
      <c r="A60" s="33">
        <v>48</v>
      </c>
      <c r="B60" s="34" t="s">
        <v>283</v>
      </c>
      <c r="C60" s="35" t="s">
        <v>226</v>
      </c>
      <c r="D60" s="36" t="str">
        <f>IFERROR(IF('Data Input'!B47&lt;=0,"Neg Eq",'Data Input'!B29/'Data Input'!B47),"-")</f>
        <v>Neg Eq</v>
      </c>
      <c r="E60" s="36" t="str">
        <f>IFERROR(IF('Data Input'!C47&lt;=0,"Neg Eq",'Data Input'!C29/'Data Input'!C47),"-")</f>
        <v>Neg Eq</v>
      </c>
      <c r="F60" s="36" t="str">
        <f>IFERROR(IF('Data Input'!D47&lt;=0,"Neg Eq",'Data Input'!D29/'Data Input'!D47),"-")</f>
        <v>Neg Eq</v>
      </c>
      <c r="G60" s="36" t="str">
        <f>IFERROR(IF('Data Input'!E47&lt;=0,"Neg Eq",'Data Input'!E29/'Data Input'!E47),"-")</f>
        <v>Neg Eq</v>
      </c>
      <c r="H60" s="36" t="str">
        <f>IFERROR(IF('Data Input'!F47&lt;=0,"Neg Eq",'Data Input'!F29/'Data Input'!F47),"-")</f>
        <v>Neg Eq</v>
      </c>
      <c r="I60" s="37" t="str">
        <f t="shared" si="10"/>
        <v>—</v>
      </c>
      <c r="J60" s="38" t="str">
        <f t="shared" si="11"/>
        <v>—</v>
      </c>
      <c r="K60" s="39" t="str">
        <f>IFERROR(IF(H60="-","",IF(ISTEXT(H60),"Negative equity","Factor 3: Financial leverage — higher = more debt-funded")),"")</f>
        <v>Negative equity</v>
      </c>
    </row>
    <row r="61" spans="1:11" ht="15" customHeight="1" x14ac:dyDescent="0.25">
      <c r="A61" s="33">
        <v>49</v>
      </c>
      <c r="B61" s="34" t="s">
        <v>284</v>
      </c>
      <c r="C61" s="35" t="s">
        <v>285</v>
      </c>
      <c r="D61" s="42" t="str">
        <f>IFERROR(IF(OR(D58="-",D59="-",ISTEXT(D60)),"-",D58*D59*D60),"-")</f>
        <v>-</v>
      </c>
      <c r="E61" s="42" t="str">
        <f>IFERROR(IF(OR(E58="-",E59="-",ISTEXT(E60)),"-",E58*E59*E60),"-")</f>
        <v>-</v>
      </c>
      <c r="F61" s="42" t="str">
        <f>IFERROR(IF(OR(F58="-",F59="-",ISTEXT(F60)),"-",F58*F59*F60),"-")</f>
        <v>-</v>
      </c>
      <c r="G61" s="42" t="str">
        <f>IFERROR(IF(OR(G58="-",G59="-",ISTEXT(G60)),"-",G58*G59*G60),"-")</f>
        <v>-</v>
      </c>
      <c r="H61" s="42" t="str">
        <f>IFERROR(IF(OR(H58="-",H59="-",ISTEXT(H60)),"-",H58*H59*H60),"-")</f>
        <v>-</v>
      </c>
      <c r="I61" s="37" t="str">
        <f t="shared" si="10"/>
        <v>—</v>
      </c>
      <c r="J61" s="38" t="str">
        <f t="shared" si="11"/>
        <v>—</v>
      </c>
      <c r="K61" s="39" t="str">
        <f>IFERROR(IF(H61="-","","If ROE is high: Is it margin (quality), turnover (efficiency), or leverage (risk)?"),"")</f>
        <v/>
      </c>
    </row>
    <row r="62" spans="1:11" ht="15" customHeight="1" x14ac:dyDescent="0.25">
      <c r="A62" s="33">
        <v>50</v>
      </c>
      <c r="B62" s="34" t="s">
        <v>286</v>
      </c>
      <c r="C62" s="35" t="s">
        <v>287</v>
      </c>
      <c r="D62" s="42" t="str">
        <f>IFERROR(IF('Data Input'!B68=0,"-",'Data Input'!B70/'Data Input'!B68),"-")</f>
        <v>-</v>
      </c>
      <c r="E62" s="42" t="str">
        <f>IFERROR(IF('Data Input'!C68=0,"-",'Data Input'!C70/'Data Input'!C68),"-")</f>
        <v>-</v>
      </c>
      <c r="F62" s="42" t="str">
        <f>IFERROR(IF('Data Input'!D68=0,"-",'Data Input'!D70/'Data Input'!D68),"-")</f>
        <v>-</v>
      </c>
      <c r="G62" s="42" t="str">
        <f>IFERROR(IF('Data Input'!E68=0,"-",'Data Input'!E70/'Data Input'!E68),"-")</f>
        <v>-</v>
      </c>
      <c r="H62" s="42" t="str">
        <f>IFERROR(IF('Data Input'!F68=0,"-",'Data Input'!F70/'Data Input'!F68),"-")</f>
        <v>-</v>
      </c>
      <c r="I62" s="37" t="str">
        <f t="shared" si="10"/>
        <v>—</v>
      </c>
      <c r="J62" s="38" t="str">
        <f t="shared" si="11"/>
        <v>—</v>
      </c>
      <c r="K62" s="39" t="str">
        <f>IFERROR(IF(H62="-","",IF(H62&gt;=0.8,"Low effective tax — check holidays/MAT credit/DTA",IF(H62&gt;=0.7,"Normal 25-30% effective rate",IF(H62&gt;=0.6,"Higher than statutory — check disallowances","Very high tax burden — investigate permanent differences")))),"")</f>
        <v/>
      </c>
    </row>
    <row r="63" spans="1:11" ht="15" customHeight="1" x14ac:dyDescent="0.25">
      <c r="A63" s="33">
        <v>51</v>
      </c>
      <c r="B63" s="34" t="s">
        <v>288</v>
      </c>
      <c r="C63" s="35" t="s">
        <v>289</v>
      </c>
      <c r="D63" s="42" t="str">
        <f>IFERROR(IF(('Data Input'!B68+'Data Input'!B62)=0,"-",'Data Input'!B68/('Data Input'!B68+'Data Input'!B62)),"-")</f>
        <v>-</v>
      </c>
      <c r="E63" s="42" t="str">
        <f>IFERROR(IF(('Data Input'!C68+'Data Input'!C62)=0,"-",'Data Input'!C68/('Data Input'!C68+'Data Input'!C62)),"-")</f>
        <v>-</v>
      </c>
      <c r="F63" s="42" t="str">
        <f>IFERROR(IF(('Data Input'!D68+'Data Input'!D62)=0,"-",'Data Input'!D68/('Data Input'!D68+'Data Input'!D62)),"-")</f>
        <v>-</v>
      </c>
      <c r="G63" s="42" t="str">
        <f>IFERROR(IF(('Data Input'!E68+'Data Input'!E62)=0,"-",'Data Input'!E68/('Data Input'!E68+'Data Input'!E62)),"-")</f>
        <v>-</v>
      </c>
      <c r="H63" s="42" t="str">
        <f>IFERROR(IF(('Data Input'!F68+'Data Input'!F62)=0,"-",'Data Input'!F68/('Data Input'!F68+'Data Input'!F62)),"-")</f>
        <v>-</v>
      </c>
      <c r="I63" s="37" t="str">
        <f t="shared" si="10"/>
        <v>—</v>
      </c>
      <c r="J63" s="38" t="str">
        <f t="shared" si="11"/>
        <v>—</v>
      </c>
      <c r="K63" s="39" t="str">
        <f>IFERROR(IF(H63="-","",IF(H63&gt;=0.95,"Minimal interest drag — nearly debt-free at operating level",IF(H63&gt;=0.8,"Low interest impact on profits",IF(H63&gt;=0.6,"Moderate — 20-40% of EBIT consumed by interest","Heavy interest burden — debt significantly eroding profits")))),"")</f>
        <v/>
      </c>
    </row>
    <row r="65" spans="1:11" ht="15" customHeight="1" x14ac:dyDescent="0.25">
      <c r="A65" s="5" t="s">
        <v>170</v>
      </c>
      <c r="B65" s="5"/>
      <c r="C65" s="5"/>
      <c r="D65" s="5"/>
      <c r="E65" s="5"/>
      <c r="F65" s="5"/>
      <c r="G65" s="5"/>
      <c r="H65" s="5"/>
      <c r="I65" s="5"/>
      <c r="J65" s="5"/>
      <c r="K65" s="5"/>
    </row>
  </sheetData>
  <sheetProtection password="D63A" sheet="1"/>
  <mergeCells count="10">
    <mergeCell ref="A31:K31"/>
    <mergeCell ref="A42:K42"/>
    <mergeCell ref="A49:K49"/>
    <mergeCell ref="A57:K57"/>
    <mergeCell ref="A65:K65"/>
    <mergeCell ref="A1:K2"/>
    <mergeCell ref="A3:K3"/>
    <mergeCell ref="A6:K6"/>
    <mergeCell ref="A12:K12"/>
    <mergeCell ref="A22:K22"/>
  </mergeCells>
  <conditionalFormatting sqref="I6:I64">
    <cfRule type="expression" dxfId="3" priority="2">
      <formula>SEARCH("▲",I6)&gt;0</formula>
    </cfRule>
    <cfRule type="expression" dxfId="2" priority="3">
      <formula>SEARCH("▼",I6)&gt;0</formula>
    </cfRule>
  </conditionalFormatting>
  <conditionalFormatting sqref="J6:J64">
    <cfRule type="cellIs" dxfId="1" priority="4" operator="greaterThan">
      <formula>0.05</formula>
    </cfRule>
    <cfRule type="cellIs" dxfId="0" priority="5" operator="lessThan">
      <formula>-0.05</formula>
    </cfRule>
  </conditionalFormatting>
  <pageMargins left="0.5" right="0.5" top="0.75" bottom="0.75" header="0.3" footer="0.3"/>
  <pageSetup paperSize="9" fitToHeight="0" orientation="landscape" horizontalDpi="300" verticalDpi="300"/>
  <headerFooter>
    <oddHeader>&amp;C&amp;"Calibri,Bold"&amp;12 &amp;"Calibri,Regular"Financial Ratio Analysis Toolkit | CA Rushabh Jamdade</oddHeader>
    <oddFooter>&amp;LCA Rushabh Jamdade&amp;C&amp;D&amp;RPage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H2"/>
    </sheetView>
  </sheetViews>
  <sheetFormatPr defaultColWidth="8.7109375" defaultRowHeight="15" x14ac:dyDescent="0.25"/>
  <cols>
    <col min="1" max="1" width="38" customWidth="1"/>
    <col min="2" max="2" width="42" customWidth="1"/>
    <col min="3" max="7" width="15" customWidth="1"/>
    <col min="8" max="8" width="60" customWidth="1"/>
  </cols>
  <sheetData>
    <row r="1" spans="1:8" ht="15" customHeight="1" x14ac:dyDescent="0.25">
      <c r="A1" s="4" t="s">
        <v>290</v>
      </c>
      <c r="B1" s="4"/>
      <c r="C1" s="4"/>
      <c r="D1" s="4"/>
      <c r="E1" s="4"/>
      <c r="F1" s="4"/>
      <c r="G1" s="4"/>
      <c r="H1" s="4"/>
    </row>
    <row r="2" spans="1:8" ht="15" customHeight="1" x14ac:dyDescent="0.25">
      <c r="A2" s="4"/>
      <c r="B2" s="4"/>
      <c r="C2" s="4"/>
      <c r="D2" s="4"/>
      <c r="E2" s="4"/>
      <c r="F2" s="4"/>
      <c r="G2" s="4"/>
      <c r="H2" s="4"/>
    </row>
    <row r="3" spans="1:8" ht="15" customHeight="1" x14ac:dyDescent="0.25">
      <c r="A3" s="3" t="s">
        <v>291</v>
      </c>
      <c r="B3" s="3"/>
      <c r="C3" s="3"/>
      <c r="D3" s="3"/>
      <c r="E3" s="3"/>
      <c r="F3" s="3"/>
      <c r="G3" s="3"/>
      <c r="H3" s="3"/>
    </row>
    <row r="5" spans="1:8" ht="15" customHeight="1" x14ac:dyDescent="0.25">
      <c r="A5" s="2" t="s">
        <v>292</v>
      </c>
      <c r="B5" s="2"/>
      <c r="C5" s="2"/>
      <c r="D5" s="2"/>
      <c r="E5" s="2"/>
      <c r="F5" s="2"/>
      <c r="G5" s="2"/>
      <c r="H5" s="2"/>
    </row>
    <row r="6" spans="1:8" ht="15" customHeight="1" x14ac:dyDescent="0.25">
      <c r="A6" s="32" t="s">
        <v>293</v>
      </c>
      <c r="B6" s="32" t="s">
        <v>294</v>
      </c>
      <c r="C6" s="32" t="s">
        <v>295</v>
      </c>
      <c r="D6" s="32" t="s">
        <v>296</v>
      </c>
      <c r="E6" s="32" t="s">
        <v>297</v>
      </c>
      <c r="F6" s="32" t="s">
        <v>298</v>
      </c>
      <c r="G6" s="32" t="s">
        <v>299</v>
      </c>
    </row>
    <row r="7" spans="1:8" ht="21.75" customHeight="1" x14ac:dyDescent="0.25">
      <c r="A7" s="34" t="s">
        <v>300</v>
      </c>
      <c r="B7" s="35" t="s">
        <v>301</v>
      </c>
      <c r="C7" s="43" t="str">
        <f>IFERROR(('Data Input'!C16/'Data Input'!C54)/('Data Input'!B16/'Data Input'!B54),"-")</f>
        <v>-</v>
      </c>
      <c r="D7" s="43" t="str">
        <f>IFERROR(('Data Input'!D16/'Data Input'!D54)/('Data Input'!C16/'Data Input'!C54),"-")</f>
        <v>-</v>
      </c>
      <c r="E7" s="43" t="str">
        <f>IFERROR(('Data Input'!E16/'Data Input'!E54)/('Data Input'!D16/'Data Input'!D54),"-")</f>
        <v>-</v>
      </c>
      <c r="F7" s="43" t="str">
        <f>IFERROR(('Data Input'!F16/'Data Input'!F54)/('Data Input'!E16/'Data Input'!E54),"-")</f>
        <v>-</v>
      </c>
      <c r="G7" s="44"/>
      <c r="H7" s="39" t="str">
        <f>IFERROR(IF(F7="-","",IF(F7&gt;1.5,"🔴 Receivables growing much faster than revenue — channel stuffing risk",IF(F7&gt;1.05,"🟡 Slight receivable growth vs revenue — monitor","✅ In line"))),"")</f>
        <v/>
      </c>
    </row>
    <row r="8" spans="1:8" ht="21.75" customHeight="1" x14ac:dyDescent="0.25">
      <c r="A8" s="34" t="s">
        <v>302</v>
      </c>
      <c r="B8" s="35" t="s">
        <v>303</v>
      </c>
      <c r="C8" s="43" t="str">
        <f>IFERROR((1-('Data Input'!B58+'Data Input'!B59)/'Data Input'!B54)/(1-('Data Input'!C58+'Data Input'!C59)/'Data Input'!C54),"-")</f>
        <v>-</v>
      </c>
      <c r="D8" s="43" t="str">
        <f>IFERROR((1-('Data Input'!C58+'Data Input'!C59)/'Data Input'!C54)/(1-('Data Input'!D58+'Data Input'!D59)/'Data Input'!D54),"-")</f>
        <v>-</v>
      </c>
      <c r="E8" s="43" t="str">
        <f>IFERROR((1-('Data Input'!D58+'Data Input'!D59)/'Data Input'!D54)/(1-('Data Input'!E58+'Data Input'!E59)/'Data Input'!E54),"-")</f>
        <v>-</v>
      </c>
      <c r="F8" s="43" t="str">
        <f>IFERROR((1-('Data Input'!E58+'Data Input'!E59)/'Data Input'!E54)/(1-('Data Input'!F58+'Data Input'!F59)/'Data Input'!F54),"-")</f>
        <v>-</v>
      </c>
      <c r="G8" s="44"/>
      <c r="H8" s="39" t="str">
        <f>IFERROR(IF(F8="-","",IF(F8&gt;1.2,"🔴 Gross margins deteriorating significantly",IF(F8&gt;1,"🟡 Slight margin pressure","✅ Margins stable or improving"))),"")</f>
        <v/>
      </c>
    </row>
    <row r="9" spans="1:8" ht="21.75" customHeight="1" x14ac:dyDescent="0.25">
      <c r="A9" s="34" t="s">
        <v>304</v>
      </c>
      <c r="B9" s="35" t="s">
        <v>305</v>
      </c>
      <c r="C9" s="43" t="str">
        <f>IFERROR((1-('Data Input'!C19+'Data Input'!C21)/'Data Input'!C29)/(1-('Data Input'!B19+'Data Input'!B21)/'Data Input'!B29),"-")</f>
        <v>-</v>
      </c>
      <c r="D9" s="43" t="str">
        <f>IFERROR((1-('Data Input'!D19+'Data Input'!D21)/'Data Input'!D29)/(1-('Data Input'!C19+'Data Input'!C21)/'Data Input'!C29),"-")</f>
        <v>-</v>
      </c>
      <c r="E9" s="43" t="str">
        <f>IFERROR((1-('Data Input'!E19+'Data Input'!E21)/'Data Input'!E29)/(1-('Data Input'!D19+'Data Input'!D21)/'Data Input'!D29),"-")</f>
        <v>-</v>
      </c>
      <c r="F9" s="43" t="str">
        <f>IFERROR((1-('Data Input'!F19+'Data Input'!F21)/'Data Input'!F29)/(1-('Data Input'!E19+'Data Input'!E21)/'Data Input'!E29),"-")</f>
        <v>-</v>
      </c>
      <c r="G9" s="44"/>
      <c r="H9" s="39" t="str">
        <f>IFERROR(IF(F9="-","",IF(F9&gt;1.3,"🔴 Asset quality declining — possible cost capitalisation",IF(F9&gt;1.05,"🟡 Watch non-current assets growth","✅ Stable"))),"")</f>
        <v/>
      </c>
    </row>
    <row r="10" spans="1:8" ht="21.75" customHeight="1" x14ac:dyDescent="0.25">
      <c r="A10" s="34" t="s">
        <v>306</v>
      </c>
      <c r="B10" s="35" t="s">
        <v>307</v>
      </c>
      <c r="C10" s="43" t="str">
        <f>IFERROR('Data Input'!C54/'Data Input'!B54,"-")</f>
        <v>-</v>
      </c>
      <c r="D10" s="43" t="str">
        <f>IFERROR('Data Input'!D54/'Data Input'!C54,"-")</f>
        <v>-</v>
      </c>
      <c r="E10" s="43" t="str">
        <f>IFERROR('Data Input'!E54/'Data Input'!D54,"-")</f>
        <v>-</v>
      </c>
      <c r="F10" s="43" t="str">
        <f>IFERROR('Data Input'!F54/'Data Input'!E54,"-")</f>
        <v>-</v>
      </c>
      <c r="G10" s="44"/>
      <c r="H10" s="39" t="str">
        <f>IFERROR(IF(F10="-","",IF(F10&gt;1.4,"🟡 Rapid growth — increases manipulation incentive",IF(F10&gt;1,"✅ Moderate growth","🟡 Revenue declining — stress indicator"))),"")</f>
        <v/>
      </c>
    </row>
    <row r="11" spans="1:8" ht="21.75" customHeight="1" x14ac:dyDescent="0.25">
      <c r="A11" s="34" t="s">
        <v>308</v>
      </c>
      <c r="B11" s="35" t="s">
        <v>309</v>
      </c>
      <c r="C11" s="43" t="str">
        <f>IFERROR(('Data Input'!B61/('Data Input'!B61+'Data Input'!B21))/('Data Input'!C61/('Data Input'!C61+'Data Input'!C21)),"-")</f>
        <v>-</v>
      </c>
      <c r="D11" s="43" t="str">
        <f>IFERROR(('Data Input'!C61/('Data Input'!C61+'Data Input'!C21))/('Data Input'!D61/('Data Input'!D61+'Data Input'!D21)),"-")</f>
        <v>-</v>
      </c>
      <c r="E11" s="43" t="str">
        <f>IFERROR(('Data Input'!D61/('Data Input'!D61+'Data Input'!D21))/('Data Input'!E61/('Data Input'!E61+'Data Input'!E21)),"-")</f>
        <v>-</v>
      </c>
      <c r="F11" s="43" t="str">
        <f>IFERROR(('Data Input'!E61/('Data Input'!E61+'Data Input'!E21))/('Data Input'!F61/('Data Input'!F61+'Data Input'!F21)),"-")</f>
        <v>-</v>
      </c>
      <c r="G11" s="44"/>
      <c r="H11" s="39" t="str">
        <f>IFERROR(IF(F11="-","",IF(F11&gt;1.2,"🔴 Depreciation rate declining — useful life extension?",IF(F11&gt;1,"🟡 Slight slowdown","✅ Normal"))),"")</f>
        <v/>
      </c>
    </row>
    <row r="12" spans="1:8" ht="21.75" customHeight="1" x14ac:dyDescent="0.25">
      <c r="A12" s="34" t="s">
        <v>310</v>
      </c>
      <c r="B12" s="35" t="s">
        <v>311</v>
      </c>
      <c r="C12" s="43" t="str">
        <f>IFERROR((('Data Input'!C60+'Data Input'!C63)/'Data Input'!C54)/(('Data Input'!B60+'Data Input'!B63)/'Data Input'!B54),"-")</f>
        <v>-</v>
      </c>
      <c r="D12" s="43" t="str">
        <f>IFERROR((('Data Input'!D60+'Data Input'!D63)/'Data Input'!D54)/(('Data Input'!C60+'Data Input'!C63)/'Data Input'!C54),"-")</f>
        <v>-</v>
      </c>
      <c r="E12" s="43" t="str">
        <f>IFERROR((('Data Input'!E60+'Data Input'!E63)/'Data Input'!E54)/(('Data Input'!D60+'Data Input'!D63)/'Data Input'!D54),"-")</f>
        <v>-</v>
      </c>
      <c r="F12" s="43" t="str">
        <f>IFERROR((('Data Input'!F60+'Data Input'!F63)/'Data Input'!F54)/(('Data Input'!E60+'Data Input'!E63)/'Data Input'!E54),"-")</f>
        <v>-</v>
      </c>
      <c r="G12" s="44"/>
      <c r="H12" s="39" t="str">
        <f>IFERROR(IF(F12="-","",IF(F12&gt;1.2,"🟡 Overheads growing faster than revenue",IF(F12&gt;1,"✅ Marginal increase","✅ Improving efficiency"))),"")</f>
        <v/>
      </c>
    </row>
    <row r="13" spans="1:8" ht="21.75" customHeight="1" x14ac:dyDescent="0.25">
      <c r="A13" s="34" t="s">
        <v>312</v>
      </c>
      <c r="B13" s="35" t="s">
        <v>313</v>
      </c>
      <c r="C13" s="43" t="str">
        <f>IFERROR((('Data Input'!C32+'Data Input'!C39+'Data Input'!C34)/'Data Input'!C29)/(('Data Input'!B32+'Data Input'!B39+'Data Input'!B34)/'Data Input'!B29),"-")</f>
        <v>-</v>
      </c>
      <c r="D13" s="43" t="str">
        <f>IFERROR((('Data Input'!D32+'Data Input'!D39+'Data Input'!D34)/'Data Input'!D29)/(('Data Input'!C32+'Data Input'!C39+'Data Input'!C34)/'Data Input'!C29),"-")</f>
        <v>-</v>
      </c>
      <c r="E13" s="43" t="str">
        <f>IFERROR((('Data Input'!E32+'Data Input'!E39+'Data Input'!E34)/'Data Input'!E29)/(('Data Input'!D32+'Data Input'!D39+'Data Input'!D34)/'Data Input'!D29),"-")</f>
        <v>-</v>
      </c>
      <c r="F13" s="43" t="str">
        <f>IFERROR((('Data Input'!F32+'Data Input'!F39+'Data Input'!F34)/'Data Input'!F29)/(('Data Input'!E32+'Data Input'!E39+'Data Input'!E34)/'Data Input'!E29),"-")</f>
        <v>-</v>
      </c>
      <c r="G13" s="44"/>
      <c r="H13" s="39" t="str">
        <f>IFERROR(IF(F13="-","",IF(F13&gt;1.2,"🔴 Leverage increasing — covenant breach incentive",IF(F13&gt;1,"🟡 Slight leverage uptick","✅ Stable or declining"))),"")</f>
        <v/>
      </c>
    </row>
    <row r="14" spans="1:8" ht="21.75" customHeight="1" x14ac:dyDescent="0.25">
      <c r="A14" s="34" t="s">
        <v>314</v>
      </c>
      <c r="B14" s="35" t="s">
        <v>315</v>
      </c>
      <c r="C14" s="43" t="str">
        <f>IFERROR(('Data Input'!C70-'Data Input'!C82)/'Data Input'!C29,"-")</f>
        <v>-</v>
      </c>
      <c r="D14" s="43" t="str">
        <f>IFERROR(('Data Input'!D70-'Data Input'!D82)/'Data Input'!D29,"-")</f>
        <v>-</v>
      </c>
      <c r="E14" s="43" t="str">
        <f>IFERROR(('Data Input'!E70-'Data Input'!E82)/'Data Input'!E29,"-")</f>
        <v>-</v>
      </c>
      <c r="F14" s="43" t="str">
        <f>IFERROR(('Data Input'!F70-'Data Input'!F82)/'Data Input'!F29,"-")</f>
        <v>-</v>
      </c>
      <c r="G14" s="44"/>
      <c r="H14" s="39" t="str">
        <f>IFERROR(IF(F14="-","",IF(F14&gt;0.05,"🔴 High accruals — reported profit far exceeds cash generation",IF(F14&gt;0,"🟡 Moderate accruals","✅ Cash exceeds accrual profit — high quality"))),"")</f>
        <v/>
      </c>
    </row>
    <row r="16" spans="1:8" ht="18.75" customHeight="1" x14ac:dyDescent="0.25">
      <c r="A16" s="45" t="s">
        <v>316</v>
      </c>
      <c r="B16" s="46" t="s">
        <v>317</v>
      </c>
      <c r="C16" s="47" t="str">
        <f>IFERROR(-4.84+0.92*C7+0.528*C8+0.404*C9+0.892*C10+0.115*C11-0.172*C12+4.679*C14-0.327*C13,"-")</f>
        <v>-</v>
      </c>
      <c r="D16" s="47" t="str">
        <f>IFERROR(-4.84+0.92*D7+0.528*D8+0.404*D9+0.892*D10+0.115*D11-0.172*D12+4.679*D14-0.327*D13,"-")</f>
        <v>-</v>
      </c>
      <c r="E16" s="47" t="str">
        <f>IFERROR(-4.84+0.92*E7+0.528*E8+0.404*E9+0.892*E10+0.115*E11-0.172*E12+4.679*E14-0.327*E13,"-")</f>
        <v>-</v>
      </c>
      <c r="F16" s="47" t="str">
        <f>IFERROR(-4.84+0.92*F7+0.528*F8+0.404*F9+0.892*F10+0.115*F11-0.172*F12+4.679*F14-0.327*F13,"-")</f>
        <v>-</v>
      </c>
    </row>
    <row r="17" spans="1:8" ht="32.25" customHeight="1" x14ac:dyDescent="0.25">
      <c r="A17" s="48" t="s">
        <v>318</v>
      </c>
      <c r="B17" s="49" t="s">
        <v>319</v>
      </c>
      <c r="C17" s="50" t="str">
        <f>IFERROR(IF(C16="-","—",IF(C16&gt;-1.78,"🔴 LIKELY MANIPULATOR",IF(C16&gt;-2.22,"🟡 GREY ZONE — Investigate","✅ UNLIKELY"))),"—")</f>
        <v>—</v>
      </c>
      <c r="D17" s="50" t="str">
        <f>IFERROR(IF(D16="-","—",IF(D16&gt;-1.78,"🔴 LIKELY MANIPULATOR",IF(D16&gt;-2.22,"🟡 GREY ZONE — Investigate","✅ UNLIKELY"))),"—")</f>
        <v>—</v>
      </c>
      <c r="E17" s="50" t="str">
        <f>IFERROR(IF(E16="-","—",IF(E16&gt;-1.78,"🔴 LIKELY MANIPULATOR",IF(E16&gt;-2.22,"🟡 GREY ZONE — Investigate","✅ UNLIKELY"))),"—")</f>
        <v>—</v>
      </c>
      <c r="F17" s="50" t="str">
        <f>IFERROR(IF(F16="-","—",IF(F16&gt;-1.78,"🔴 LIKELY MANIPULATOR",IF(F16&gt;-2.22,"🟡 GREY ZONE — Investigate","✅ UNLIKELY"))),"—")</f>
        <v>—</v>
      </c>
      <c r="H17" s="51" t="s">
        <v>320</v>
      </c>
    </row>
    <row r="20" spans="1:8" ht="15" customHeight="1" x14ac:dyDescent="0.25">
      <c r="A20" s="2" t="s">
        <v>321</v>
      </c>
      <c r="B20" s="2"/>
      <c r="C20" s="2"/>
      <c r="D20" s="2"/>
      <c r="E20" s="2"/>
      <c r="F20" s="2"/>
      <c r="G20" s="2"/>
      <c r="H20" s="2"/>
    </row>
    <row r="21" spans="1:8" ht="15" customHeight="1" x14ac:dyDescent="0.25">
      <c r="A21" s="32" t="s">
        <v>293</v>
      </c>
      <c r="B21" s="32" t="s">
        <v>294</v>
      </c>
      <c r="C21" s="32" t="s">
        <v>176</v>
      </c>
      <c r="D21" s="32" t="s">
        <v>177</v>
      </c>
      <c r="E21" s="32" t="s">
        <v>178</v>
      </c>
      <c r="F21" s="32" t="s">
        <v>179</v>
      </c>
      <c r="G21" s="32" t="s">
        <v>322</v>
      </c>
      <c r="H21" s="32" t="s">
        <v>299</v>
      </c>
    </row>
    <row r="22" spans="1:8" ht="15" customHeight="1" x14ac:dyDescent="0.25">
      <c r="A22" s="34" t="s">
        <v>323</v>
      </c>
      <c r="B22" s="35" t="s">
        <v>324</v>
      </c>
      <c r="C22" s="43" t="str">
        <f>IFERROR(('Data Input'!B19-'Data Input'!B37)/'Data Input'!B29,"-")</f>
        <v>-</v>
      </c>
      <c r="D22" s="43" t="str">
        <f>IFERROR(('Data Input'!C19-'Data Input'!C37)/'Data Input'!C29,"-")</f>
        <v>-</v>
      </c>
      <c r="E22" s="43" t="str">
        <f>IFERROR(('Data Input'!D19-'Data Input'!D37)/'Data Input'!D29,"-")</f>
        <v>-</v>
      </c>
      <c r="F22" s="43" t="str">
        <f>IFERROR(('Data Input'!E19-'Data Input'!E37)/'Data Input'!E29,"-")</f>
        <v>-</v>
      </c>
      <c r="G22" s="43" t="str">
        <f>IFERROR(('Data Input'!F19-'Data Input'!F37)/'Data Input'!F29,"-")</f>
        <v>-</v>
      </c>
      <c r="H22" s="39" t="str">
        <f>IFERROR(IF(G22="-","",IF(G22&gt;0.2,"✅ Strong liquidity","🟡 Check liquidity")),"")</f>
        <v/>
      </c>
    </row>
    <row r="23" spans="1:8" ht="15" customHeight="1" x14ac:dyDescent="0.25">
      <c r="A23" s="34" t="s">
        <v>325</v>
      </c>
      <c r="B23" s="35" t="s">
        <v>326</v>
      </c>
      <c r="C23" s="43" t="str">
        <f>IFERROR('Data Input'!B45/'Data Input'!B29,"-")</f>
        <v>-</v>
      </c>
      <c r="D23" s="43" t="str">
        <f>IFERROR('Data Input'!C45/'Data Input'!C29,"-")</f>
        <v>-</v>
      </c>
      <c r="E23" s="43" t="str">
        <f>IFERROR('Data Input'!D45/'Data Input'!D29,"-")</f>
        <v>-</v>
      </c>
      <c r="F23" s="43" t="str">
        <f>IFERROR('Data Input'!E45/'Data Input'!E29,"-")</f>
        <v>-</v>
      </c>
      <c r="G23" s="43" t="str">
        <f>IFERROR('Data Input'!F45/'Data Input'!F29,"-")</f>
        <v>-</v>
      </c>
      <c r="H23" s="39" t="str">
        <f>IFERROR(IF(G23="-","",IF(G23&gt;0.25,"✅ Strong retained earnings","🟡 Limited profit accumulation")),"")</f>
        <v/>
      </c>
    </row>
    <row r="24" spans="1:8" ht="15" customHeight="1" x14ac:dyDescent="0.25">
      <c r="A24" s="34" t="s">
        <v>327</v>
      </c>
      <c r="B24" s="35" t="s">
        <v>328</v>
      </c>
      <c r="C24" s="43" t="str">
        <f>IFERROR(('Data Input'!B68+'Data Input'!B62)/'Data Input'!B29,"-")</f>
        <v>-</v>
      </c>
      <c r="D24" s="43" t="str">
        <f>IFERROR(('Data Input'!C68+'Data Input'!C62)/'Data Input'!C29,"-")</f>
        <v>-</v>
      </c>
      <c r="E24" s="43" t="str">
        <f>IFERROR(('Data Input'!D68+'Data Input'!D62)/'Data Input'!D29,"-")</f>
        <v>-</v>
      </c>
      <c r="F24" s="43" t="str">
        <f>IFERROR(('Data Input'!E68+'Data Input'!E62)/'Data Input'!E29,"-")</f>
        <v>-</v>
      </c>
      <c r="G24" s="43" t="str">
        <f>IFERROR(('Data Input'!F68+'Data Input'!F62)/'Data Input'!F29,"-")</f>
        <v>-</v>
      </c>
      <c r="H24" s="39" t="str">
        <f>IFERROR(IF(G24="-","",IF(G24&gt;0.1,"✅ Good operating returns","🟡 Low asset productivity")),"")</f>
        <v/>
      </c>
    </row>
    <row r="25" spans="1:8" ht="15" customHeight="1" x14ac:dyDescent="0.25">
      <c r="A25" s="34" t="s">
        <v>329</v>
      </c>
      <c r="B25" s="35" t="s">
        <v>330</v>
      </c>
      <c r="C25" s="43" t="str">
        <f>IFERROR(IF('Data Input'!B93=0,"-",'Data Input'!B93/('Data Input'!B37+'Data Input'!B42)),"-")</f>
        <v>-</v>
      </c>
      <c r="D25" s="43" t="str">
        <f>IFERROR(IF('Data Input'!C93=0,"-",'Data Input'!C93/('Data Input'!C37+'Data Input'!C42)),"-")</f>
        <v>-</v>
      </c>
      <c r="E25" s="43" t="str">
        <f>IFERROR(IF('Data Input'!D93=0,"-",'Data Input'!D93/('Data Input'!D37+'Data Input'!D42)),"-")</f>
        <v>-</v>
      </c>
      <c r="F25" s="43" t="str">
        <f>IFERROR(IF('Data Input'!E93=0,"-",'Data Input'!E93/('Data Input'!E37+'Data Input'!E42)),"-")</f>
        <v>-</v>
      </c>
      <c r="G25" s="43" t="str">
        <f>IFERROR(IF('Data Input'!F93=0,"-",'Data Input'!F93/('Data Input'!F37+'Data Input'!F42)),"-")</f>
        <v>-</v>
      </c>
      <c r="H25" s="39" t="str">
        <f>IFERROR(IF(G25="-","Needs market data",IF(G25&gt;1,"✅ Market values above liabilities","🔴 Liabilities exceed market value")),"")</f>
        <v>Needs market data</v>
      </c>
    </row>
    <row r="26" spans="1:8" ht="15" customHeight="1" x14ac:dyDescent="0.25">
      <c r="A26" s="34" t="s">
        <v>331</v>
      </c>
      <c r="B26" s="35" t="s">
        <v>332</v>
      </c>
      <c r="C26" s="43" t="str">
        <f>IFERROR('Data Input'!B54/'Data Input'!B29,"-")</f>
        <v>-</v>
      </c>
      <c r="D26" s="43" t="str">
        <f>IFERROR('Data Input'!C54/'Data Input'!C29,"-")</f>
        <v>-</v>
      </c>
      <c r="E26" s="43" t="str">
        <f>IFERROR('Data Input'!D54/'Data Input'!D29,"-")</f>
        <v>-</v>
      </c>
      <c r="F26" s="43" t="str">
        <f>IFERROR('Data Input'!E54/'Data Input'!E29,"-")</f>
        <v>-</v>
      </c>
      <c r="G26" s="43" t="str">
        <f>IFERROR('Data Input'!F54/'Data Input'!F29,"-")</f>
        <v>-</v>
      </c>
      <c r="H26" s="39" t="str">
        <f>IFERROR(IF(G26="-","",IF(G26&gt;1,"✅ Good asset turnover","🟡 Low utilisation")),"")</f>
        <v/>
      </c>
    </row>
    <row r="28" spans="1:8" ht="15" customHeight="1" x14ac:dyDescent="0.25">
      <c r="A28" s="52" t="s">
        <v>333</v>
      </c>
      <c r="B28" s="53" t="s">
        <v>334</v>
      </c>
      <c r="C28" s="54" t="str">
        <f>IFERROR(1.2*C22+1.4*C23+3.3*C24+0.6*C25+1*C26,"-")</f>
        <v>-</v>
      </c>
      <c r="D28" s="54" t="str">
        <f>IFERROR(1.2*D22+1.4*D23+3.3*D24+0.6*D25+1*D26,"-")</f>
        <v>-</v>
      </c>
      <c r="E28" s="54" t="str">
        <f>IFERROR(1.2*E22+1.4*E23+3.3*E24+0.6*E25+1*E26,"-")</f>
        <v>-</v>
      </c>
      <c r="F28" s="54" t="str">
        <f>IFERROR(1.2*F22+1.4*F23+3.3*F24+0.6*F25+1*F26,"-")</f>
        <v>-</v>
      </c>
      <c r="G28" s="54" t="str">
        <f>IFERROR(1.2*G22+1.4*G23+3.3*G24+0.6*G25+1*G26,"-")</f>
        <v>-</v>
      </c>
    </row>
    <row r="29" spans="1:8" ht="32.25" customHeight="1" x14ac:dyDescent="0.25">
      <c r="A29" s="48" t="s">
        <v>318</v>
      </c>
      <c r="B29" s="49" t="s">
        <v>335</v>
      </c>
      <c r="C29" s="50" t="str">
        <f>IFERROR(IF(C28="-","—",IF(C28&gt;=2.99,"✅ SAFE ZONE",IF(C28&gt;=1.81,"🟡 GREY ZONE","🔴 DISTRESS ZONE"))),"—")</f>
        <v>—</v>
      </c>
      <c r="D29" s="50" t="str">
        <f>IFERROR(IF(D28="-","—",IF(D28&gt;=2.99,"✅ SAFE ZONE",IF(D28&gt;=1.81,"🟡 GREY ZONE","🔴 DISTRESS ZONE"))),"—")</f>
        <v>—</v>
      </c>
      <c r="E29" s="50" t="str">
        <f>IFERROR(IF(E28="-","—",IF(E28&gt;=2.99,"✅ SAFE ZONE",IF(E28&gt;=1.81,"🟡 GREY ZONE","🔴 DISTRESS ZONE"))),"—")</f>
        <v>—</v>
      </c>
      <c r="F29" s="50" t="str">
        <f>IFERROR(IF(F28="-","—",IF(F28&gt;=2.99,"✅ SAFE ZONE",IF(F28&gt;=1.81,"🟡 GREY ZONE","🔴 DISTRESS ZONE"))),"—")</f>
        <v>—</v>
      </c>
      <c r="G29" s="50" t="str">
        <f>IFERROR(IF(G28="-","—",IF(G28&gt;=2.99,"✅ SAFE ZONE",IF(G28&gt;=1.81,"🟡 GREY ZONE","🔴 DISTRESS ZONE"))),"—")</f>
        <v>—</v>
      </c>
      <c r="H29" s="51" t="s">
        <v>336</v>
      </c>
    </row>
    <row r="32" spans="1:8" ht="15" customHeight="1" x14ac:dyDescent="0.25">
      <c r="A32" s="2" t="s">
        <v>337</v>
      </c>
      <c r="B32" s="2"/>
      <c r="C32" s="2"/>
      <c r="D32" s="2"/>
      <c r="E32" s="2"/>
      <c r="F32" s="2"/>
      <c r="G32" s="2"/>
      <c r="H32" s="2"/>
    </row>
    <row r="33" spans="1:11" ht="15" customHeight="1" x14ac:dyDescent="0.25">
      <c r="A33" s="32" t="s">
        <v>338</v>
      </c>
      <c r="B33" s="32" t="s">
        <v>339</v>
      </c>
      <c r="C33" s="32" t="s">
        <v>295</v>
      </c>
      <c r="D33" s="32" t="s">
        <v>296</v>
      </c>
      <c r="E33" s="32" t="s">
        <v>297</v>
      </c>
      <c r="F33" s="32" t="s">
        <v>298</v>
      </c>
      <c r="G33" s="32" t="s">
        <v>299</v>
      </c>
    </row>
    <row r="34" spans="1:11" ht="15" customHeight="1" x14ac:dyDescent="0.25">
      <c r="A34" s="55" t="s">
        <v>340</v>
      </c>
      <c r="B34" s="35" t="s">
        <v>341</v>
      </c>
      <c r="C34" s="56">
        <f>IF('Data Input'!C70&gt;0,1,0)</f>
        <v>0</v>
      </c>
      <c r="D34" s="56">
        <f>IF('Data Input'!D70&gt;0,1,0)</f>
        <v>0</v>
      </c>
      <c r="E34" s="56">
        <f>IF('Data Input'!E70&gt;0,1,0)</f>
        <v>0</v>
      </c>
      <c r="F34" s="56">
        <f>IF('Data Input'!F70&gt;0,1,0)</f>
        <v>0</v>
      </c>
      <c r="G34" s="39" t="str">
        <f>IF(F34=1,"✅ Profitable","🔴 Net loss")</f>
        <v>🔴 Net loss</v>
      </c>
    </row>
    <row r="35" spans="1:11" ht="21.75" customHeight="1" x14ac:dyDescent="0.25">
      <c r="A35" s="55" t="s">
        <v>342</v>
      </c>
      <c r="B35" s="35" t="s">
        <v>343</v>
      </c>
      <c r="C35" s="56">
        <f>IF('Data Input'!C82&gt;0,1,0)</f>
        <v>0</v>
      </c>
      <c r="D35" s="56">
        <f>IF('Data Input'!D82&gt;0,1,0)</f>
        <v>0</v>
      </c>
      <c r="E35" s="56">
        <f>IF('Data Input'!E82&gt;0,1,0)</f>
        <v>0</v>
      </c>
      <c r="F35" s="56">
        <f>IF('Data Input'!F82&gt;0,1,0)</f>
        <v>0</v>
      </c>
      <c r="G35" s="39" t="str">
        <f>IF(F35=1,"✅ Cash positive","🔴 Cash negative from ops")</f>
        <v>🔴 Cash negative from ops</v>
      </c>
    </row>
    <row r="36" spans="1:11" ht="15" customHeight="1" x14ac:dyDescent="0.25">
      <c r="A36" s="55" t="s">
        <v>344</v>
      </c>
      <c r="B36" s="35" t="s">
        <v>345</v>
      </c>
      <c r="C36" s="56">
        <f>IFERROR(IF(('Data Input'!C70/'Data Input'!C29)&gt;('Data Input'!B70/'Data Input'!B29),1,0),0)</f>
        <v>0</v>
      </c>
      <c r="D36" s="56">
        <f>IFERROR(IF(('Data Input'!D70/'Data Input'!D29)&gt;('Data Input'!C70/'Data Input'!C29),1,0),0)</f>
        <v>0</v>
      </c>
      <c r="E36" s="56">
        <f>IFERROR(IF(('Data Input'!E70/'Data Input'!E29)&gt;('Data Input'!D70/'Data Input'!D29),1,0),0)</f>
        <v>0</v>
      </c>
      <c r="F36" s="56">
        <f>IFERROR(IF(('Data Input'!F70/'Data Input'!F29)&gt;('Data Input'!E70/'Data Input'!E29),1,0),0)</f>
        <v>0</v>
      </c>
      <c r="G36" s="39" t="str">
        <f>IF(F36=1,"✅ ROA improving","🔴 ROA declining")</f>
        <v>🔴 ROA declining</v>
      </c>
    </row>
    <row r="37" spans="1:11" ht="21.75" customHeight="1" x14ac:dyDescent="0.25">
      <c r="A37" s="55" t="s">
        <v>346</v>
      </c>
      <c r="B37" s="35" t="s">
        <v>347</v>
      </c>
      <c r="C37" s="56">
        <f>IF('Data Input'!C82&gt;'Data Input'!C70,1,0)</f>
        <v>0</v>
      </c>
      <c r="D37" s="56">
        <f>IF('Data Input'!D82&gt;'Data Input'!D70,1,0)</f>
        <v>0</v>
      </c>
      <c r="E37" s="56">
        <f>IF('Data Input'!E82&gt;'Data Input'!E70,1,0)</f>
        <v>0</v>
      </c>
      <c r="F37" s="56">
        <f>IF('Data Input'!F82&gt;'Data Input'!F70,1,0)</f>
        <v>0</v>
      </c>
      <c r="G37" s="39" t="str">
        <f>IF(F37=1,"✅ High quality — cash exceeds accrual profit","🔴 Accrual profit exceeds cash")</f>
        <v>🔴 Accrual profit exceeds cash</v>
      </c>
    </row>
    <row r="38" spans="1:11" ht="21.75" customHeight="1" x14ac:dyDescent="0.25">
      <c r="A38" s="55" t="s">
        <v>348</v>
      </c>
      <c r="B38" s="35" t="s">
        <v>349</v>
      </c>
      <c r="C38" s="56">
        <f>IFERROR(IF(('Data Input'!C39/'Data Input'!C29)&lt;('Data Input'!B39/'Data Input'!B29),1,0),0)</f>
        <v>0</v>
      </c>
      <c r="D38" s="56">
        <f>IFERROR(IF(('Data Input'!D39/'Data Input'!D29)&lt;('Data Input'!C39/'Data Input'!C29),1,0),0)</f>
        <v>0</v>
      </c>
      <c r="E38" s="56">
        <f>IFERROR(IF(('Data Input'!E39/'Data Input'!E29)&lt;('Data Input'!D39/'Data Input'!D29),1,0),0)</f>
        <v>0</v>
      </c>
      <c r="F38" s="56">
        <f>IFERROR(IF(('Data Input'!F39/'Data Input'!F29)&lt;('Data Input'!E39/'Data Input'!E29),1,0),0)</f>
        <v>0</v>
      </c>
      <c r="G38" s="39" t="str">
        <f>IF(F38=1,"✅ Deleveraging","🔴 Leverage increasing")</f>
        <v>🔴 Leverage increasing</v>
      </c>
    </row>
    <row r="39" spans="1:11" ht="21.75" customHeight="1" x14ac:dyDescent="0.25">
      <c r="A39" s="55" t="s">
        <v>350</v>
      </c>
      <c r="B39" s="35" t="s">
        <v>351</v>
      </c>
      <c r="C39" s="56">
        <f>IFERROR(IF(('Data Input'!C19/'Data Input'!C37)&gt;('Data Input'!B19/'Data Input'!B37),1,0),0)</f>
        <v>0</v>
      </c>
      <c r="D39" s="56">
        <f>IFERROR(IF(('Data Input'!D19/'Data Input'!D37)&gt;('Data Input'!C19/'Data Input'!C37),1,0),0)</f>
        <v>0</v>
      </c>
      <c r="E39" s="56">
        <f>IFERROR(IF(('Data Input'!E19/'Data Input'!E37)&gt;('Data Input'!D19/'Data Input'!D37),1,0),0)</f>
        <v>0</v>
      </c>
      <c r="F39" s="56">
        <f>IFERROR(IF(('Data Input'!F19/'Data Input'!F37)&gt;('Data Input'!E19/'Data Input'!E37),1,0),0)</f>
        <v>0</v>
      </c>
      <c r="G39" s="39" t="str">
        <f>IF(F39=1,"✅ Liquidity improving","🔴 Liquidity weakening")</f>
        <v>🔴 Liquidity weakening</v>
      </c>
    </row>
    <row r="40" spans="1:11" ht="15" customHeight="1" x14ac:dyDescent="0.25">
      <c r="A40" s="55" t="s">
        <v>352</v>
      </c>
      <c r="B40" s="35" t="s">
        <v>353</v>
      </c>
      <c r="C40" s="56">
        <f>IF('Data Input'!C78&lt;='Data Input'!B78,1,0)</f>
        <v>1</v>
      </c>
      <c r="D40" s="56">
        <f>IF('Data Input'!D78&lt;='Data Input'!C78,1,0)</f>
        <v>1</v>
      </c>
      <c r="E40" s="56">
        <f>IF('Data Input'!E78&lt;='Data Input'!D78,1,0)</f>
        <v>1</v>
      </c>
      <c r="F40" s="56">
        <f>IF('Data Input'!F78&lt;='Data Input'!E78,1,0)</f>
        <v>1</v>
      </c>
      <c r="G40" s="39" t="str">
        <f>IF(F40=1,"✅ No dilution","🔴 Shares increased — dilutive")</f>
        <v>✅ No dilution</v>
      </c>
    </row>
    <row r="41" spans="1:11" ht="21.75" customHeight="1" x14ac:dyDescent="0.25">
      <c r="A41" s="55" t="s">
        <v>354</v>
      </c>
      <c r="B41" s="35" t="s">
        <v>355</v>
      </c>
      <c r="C41" s="56">
        <f>IFERROR(IF((1-('Data Input'!C58+'Data Input'!C59)/'Data Input'!C54)&gt;(1-('Data Input'!B58+'Data Input'!B59)/'Data Input'!B54),1,0),0)</f>
        <v>0</v>
      </c>
      <c r="D41" s="56">
        <f>IFERROR(IF((1-('Data Input'!D58+'Data Input'!D59)/'Data Input'!D54)&gt;(1-('Data Input'!C58+'Data Input'!C59)/'Data Input'!C54),1,0),0)</f>
        <v>0</v>
      </c>
      <c r="E41" s="56">
        <f>IFERROR(IF((1-('Data Input'!E58+'Data Input'!E59)/'Data Input'!E54)&gt;(1-('Data Input'!D58+'Data Input'!D59)/'Data Input'!D54),1,0),0)</f>
        <v>0</v>
      </c>
      <c r="F41" s="56">
        <f>IFERROR(IF((1-('Data Input'!F58+'Data Input'!F59)/'Data Input'!F54)&gt;(1-('Data Input'!E58+'Data Input'!E59)/'Data Input'!E54),1,0),0)</f>
        <v>0</v>
      </c>
      <c r="G41" s="39" t="str">
        <f>IF(F41=1,"✅ Margins expanding","🔴 Margins compressing")</f>
        <v>🔴 Margins compressing</v>
      </c>
    </row>
    <row r="42" spans="1:11" ht="21.75" customHeight="1" x14ac:dyDescent="0.25">
      <c r="A42" s="55" t="s">
        <v>356</v>
      </c>
      <c r="B42" s="35" t="s">
        <v>357</v>
      </c>
      <c r="C42" s="56">
        <f>IFERROR(IF(('Data Input'!C54/'Data Input'!C29)&gt;('Data Input'!B54/'Data Input'!B29),1,0),0)</f>
        <v>0</v>
      </c>
      <c r="D42" s="56">
        <f>IFERROR(IF(('Data Input'!D54/'Data Input'!D29)&gt;('Data Input'!C54/'Data Input'!C29),1,0),0)</f>
        <v>0</v>
      </c>
      <c r="E42" s="56">
        <f>IFERROR(IF(('Data Input'!E54/'Data Input'!E29)&gt;('Data Input'!D54/'Data Input'!D29),1,0),0)</f>
        <v>0</v>
      </c>
      <c r="F42" s="56">
        <f>IFERROR(IF(('Data Input'!F54/'Data Input'!F29)&gt;('Data Input'!E54/'Data Input'!E29),1,0),0)</f>
        <v>0</v>
      </c>
      <c r="G42" s="39" t="str">
        <f>IF(F42=1,"✅ Better asset utilisation","🔴 Declining efficiency")</f>
        <v>🔴 Declining efficiency</v>
      </c>
    </row>
    <row r="44" spans="1:11" ht="16.5" customHeight="1" x14ac:dyDescent="0.25">
      <c r="A44" s="57" t="s">
        <v>358</v>
      </c>
      <c r="B44" s="58" t="s">
        <v>359</v>
      </c>
      <c r="C44" s="59">
        <f>C34+C35+C36+C37+C38+C39+C40+C41+C42</f>
        <v>1</v>
      </c>
      <c r="D44" s="59">
        <f>D34+D35+D36+D37+D38+D39+D40+D41+D42</f>
        <v>1</v>
      </c>
      <c r="E44" s="59">
        <f>E34+E35+E36+E37+E38+E39+E40+E41+E42</f>
        <v>1</v>
      </c>
      <c r="F44" s="59">
        <f>F34+F35+F36+F37+F38+F39+F40+F41+F42</f>
        <v>1</v>
      </c>
    </row>
    <row r="45" spans="1:11" ht="34.5" customHeight="1" x14ac:dyDescent="0.25">
      <c r="A45" s="48" t="s">
        <v>318</v>
      </c>
      <c r="C45" s="50" t="str">
        <f>IF(C44&gt;=8,"✅ STRONG — High conviction value pick",IF(C44&gt;=5,"🟡 AVERAGE — Mixed signals, deeper analysis needed","🔴 WEAK — Avoid or short candidate"))</f>
        <v>🔴 WEAK — Avoid or short candidate</v>
      </c>
      <c r="D45" s="50" t="str">
        <f>IF(D44&gt;=8,"✅ STRONG — High conviction value pick",IF(D44&gt;=5,"🟡 AVERAGE — Mixed signals, deeper analysis needed","🔴 WEAK — Avoid or short candidate"))</f>
        <v>🔴 WEAK — Avoid or short candidate</v>
      </c>
      <c r="E45" s="50" t="str">
        <f>IF(E44&gt;=8,"✅ STRONG — High conviction value pick",IF(E44&gt;=5,"🟡 AVERAGE — Mixed signals, deeper analysis needed","🔴 WEAK — Avoid or short candidate"))</f>
        <v>🔴 WEAK — Avoid or short candidate</v>
      </c>
      <c r="F45" s="50" t="str">
        <f>IF(F44&gt;=8,"✅ STRONG — High conviction value pick",IF(F44&gt;=5,"🟡 AVERAGE — Mixed signals, deeper analysis needed","🔴 WEAK — Avoid or short candidate"))</f>
        <v>🔴 WEAK — Avoid or short candidate</v>
      </c>
      <c r="H45" s="51" t="s">
        <v>360</v>
      </c>
    </row>
    <row r="47" spans="1:11" ht="15" customHeight="1" x14ac:dyDescent="0.25">
      <c r="A47" s="5" t="s">
        <v>170</v>
      </c>
      <c r="B47" s="5"/>
      <c r="C47" s="5"/>
      <c r="D47" s="5"/>
      <c r="E47" s="5"/>
      <c r="F47" s="5"/>
      <c r="G47" s="5"/>
      <c r="H47" s="5"/>
      <c r="I47" s="5"/>
      <c r="J47" s="5"/>
      <c r="K47" s="5"/>
    </row>
  </sheetData>
  <sheetProtection password="D63A" sheet="1"/>
  <mergeCells count="6">
    <mergeCell ref="A47:K47"/>
    <mergeCell ref="A1:H2"/>
    <mergeCell ref="A3:H3"/>
    <mergeCell ref="A5:H5"/>
    <mergeCell ref="A20:H20"/>
    <mergeCell ref="A32:H32"/>
  </mergeCells>
  <pageMargins left="0.5" right="0.5" top="0.75" bottom="0.75" header="0.3" footer="0.3"/>
  <pageSetup paperSize="9" fitToHeight="0" orientation="landscape" horizontalDpi="300" verticalDpi="300"/>
  <headerFooter>
    <oddHeader>&amp;C&amp;"Calibri,Bold"&amp;12 &amp;"Calibri,Regular"Financial Ratio Analysis Toolkit | CA Rushabh Jamdade</oddHeader>
    <oddFooter>&amp;LCA Rushabh Jamdade&amp;C&amp;D&amp;RPage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G2"/>
    </sheetView>
  </sheetViews>
  <sheetFormatPr defaultColWidth="8.7109375" defaultRowHeight="15" x14ac:dyDescent="0.25"/>
  <cols>
    <col min="1" max="1" width="25" customWidth="1"/>
    <col min="2" max="2" width="16" customWidth="1"/>
    <col min="3" max="6" width="14" customWidth="1"/>
    <col min="7" max="7" width="50" customWidth="1"/>
  </cols>
  <sheetData>
    <row r="1" spans="1:7" ht="15" customHeight="1" x14ac:dyDescent="0.25">
      <c r="A1" s="1" t="s">
        <v>361</v>
      </c>
      <c r="B1" s="1"/>
      <c r="C1" s="1"/>
      <c r="D1" s="1"/>
      <c r="E1" s="1"/>
      <c r="F1" s="1"/>
      <c r="G1" s="1"/>
    </row>
    <row r="2" spans="1:7" ht="15" customHeight="1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65" t="s">
        <v>362</v>
      </c>
      <c r="B3" s="65"/>
      <c r="C3" s="65"/>
      <c r="D3" s="65"/>
      <c r="E3" s="65"/>
      <c r="F3" s="65"/>
      <c r="G3" s="65"/>
    </row>
    <row r="5" spans="1:7" ht="15" customHeight="1" x14ac:dyDescent="0.25">
      <c r="A5" s="32" t="s">
        <v>363</v>
      </c>
      <c r="B5" s="32" t="s">
        <v>364</v>
      </c>
      <c r="C5" s="32" t="s">
        <v>182</v>
      </c>
      <c r="D5" s="32" t="s">
        <v>365</v>
      </c>
      <c r="E5" s="32" t="s">
        <v>366</v>
      </c>
      <c r="F5" s="32" t="s">
        <v>367</v>
      </c>
      <c r="G5" s="32" t="s">
        <v>368</v>
      </c>
    </row>
    <row r="6" spans="1:7" ht="15" customHeight="1" x14ac:dyDescent="0.25">
      <c r="A6" s="2" t="s">
        <v>369</v>
      </c>
      <c r="B6" s="2"/>
      <c r="C6" s="2"/>
      <c r="D6" s="2"/>
      <c r="E6" s="2"/>
      <c r="F6" s="2"/>
      <c r="G6" s="2"/>
    </row>
    <row r="7" spans="1:7" ht="17.25" customHeight="1" x14ac:dyDescent="0.25">
      <c r="A7" s="34" t="s">
        <v>185</v>
      </c>
      <c r="B7" s="36" t="str">
        <f>'Ratio Analysis'!H7</f>
        <v>-</v>
      </c>
      <c r="C7" s="38" t="str">
        <f>'Ratio Analysis'!J7</f>
        <v>—</v>
      </c>
      <c r="D7" s="60" t="str">
        <f>IFERROR(IF(OR(B7="-",ISTEXT(B7)),"—",IF(B7&gt;=1.5,"✅",IF(B7&gt;=1,"🟡","🔴"))),"—")</f>
        <v>—</v>
      </c>
      <c r="E7" s="37" t="str">
        <f>'Ratio Analysis'!I7</f>
        <v>—</v>
      </c>
      <c r="F7" s="36" t="str">
        <f>'Ratio Analysis'!G7</f>
        <v>-</v>
      </c>
      <c r="G7" s="39" t="str">
        <f>'Ratio Analysis'!K7</f>
        <v>Insufficient data</v>
      </c>
    </row>
    <row r="8" spans="1:7" ht="17.25" customHeight="1" x14ac:dyDescent="0.25">
      <c r="A8" s="34" t="s">
        <v>370</v>
      </c>
      <c r="B8" s="36" t="str">
        <f>'Ratio Analysis'!H8</f>
        <v>-</v>
      </c>
      <c r="C8" s="38" t="str">
        <f>'Ratio Analysis'!J8</f>
        <v>—</v>
      </c>
      <c r="D8" s="60" t="str">
        <f>IFERROR(IF(OR(B8="-",ISTEXT(B8)),"—",IF(B8&gt;=1,"✅",IF(B8&gt;=0.7,"🟡","🔴"))),"—")</f>
        <v>—</v>
      </c>
      <c r="E8" s="37" t="str">
        <f>'Ratio Analysis'!I8</f>
        <v>—</v>
      </c>
      <c r="F8" s="36" t="str">
        <f>'Ratio Analysis'!G8</f>
        <v>-</v>
      </c>
      <c r="G8" s="39" t="str">
        <f>'Ratio Analysis'!K8</f>
        <v/>
      </c>
    </row>
    <row r="9" spans="1:7" ht="17.25" customHeight="1" x14ac:dyDescent="0.25">
      <c r="A9" s="34" t="s">
        <v>189</v>
      </c>
      <c r="B9" s="36" t="str">
        <f>'Ratio Analysis'!H9</f>
        <v>-</v>
      </c>
      <c r="C9" s="38" t="str">
        <f>'Ratio Analysis'!J9</f>
        <v>—</v>
      </c>
      <c r="D9" s="60" t="str">
        <f>IFERROR(IF(OR(B9="-",ISTEXT(B9)),"—",IF(B9&gt;=0.5,"✅",IF(B9&gt;=0.2,"🟡","🔴"))),"—")</f>
        <v>—</v>
      </c>
      <c r="E9" s="37" t="str">
        <f>'Ratio Analysis'!I9</f>
        <v>—</v>
      </c>
      <c r="F9" s="36" t="str">
        <f>'Ratio Analysis'!G9</f>
        <v>-</v>
      </c>
      <c r="G9" s="39" t="str">
        <f>'Ratio Analysis'!K9</f>
        <v/>
      </c>
    </row>
    <row r="10" spans="1:7" ht="21.75" customHeight="1" x14ac:dyDescent="0.25">
      <c r="A10" s="34" t="s">
        <v>371</v>
      </c>
      <c r="B10" s="61">
        <f>'Ratio Analysis'!H10</f>
        <v>0</v>
      </c>
      <c r="C10" s="38" t="str">
        <f>'Ratio Analysis'!J10</f>
        <v>—</v>
      </c>
      <c r="D10" s="60" t="str">
        <f>IFERROR(IF(OR(B10="-",ISTEXT(B10)),"—",IF(B10&gt;0,"✅","🔴")),"—")</f>
        <v>🔴</v>
      </c>
      <c r="E10" s="37" t="str">
        <f>'Ratio Analysis'!I10</f>
        <v>→</v>
      </c>
      <c r="F10" s="61">
        <f>'Ratio Analysis'!G10</f>
        <v>0</v>
      </c>
      <c r="G10" s="39" t="str">
        <f>'Ratio Analysis'!K10</f>
        <v>Negative WC — operating on supplier/lender credit, check if structural</v>
      </c>
    </row>
    <row r="11" spans="1:7" ht="15" customHeight="1" x14ac:dyDescent="0.25">
      <c r="A11" s="2" t="s">
        <v>372</v>
      </c>
      <c r="B11" s="2"/>
      <c r="C11" s="2"/>
      <c r="D11" s="2"/>
      <c r="E11" s="2"/>
      <c r="F11" s="2"/>
      <c r="G11" s="2"/>
    </row>
    <row r="12" spans="1:7" ht="17.25" customHeight="1" x14ac:dyDescent="0.25">
      <c r="A12" s="34" t="s">
        <v>196</v>
      </c>
      <c r="B12" s="42" t="str">
        <f>'Ratio Analysis'!H13</f>
        <v>-</v>
      </c>
      <c r="C12" s="38" t="str">
        <f>'Ratio Analysis'!J13</f>
        <v>—</v>
      </c>
      <c r="D12" s="60" t="str">
        <f>IFERROR(IF(OR(B12="-",ISTEXT(B12)),"—",IF(B12&gt;=0.3,"✅",IF(B12&gt;=0.15,"🟡","🔴"))),"—")</f>
        <v>—</v>
      </c>
      <c r="E12" s="37" t="str">
        <f>'Ratio Analysis'!I13</f>
        <v>—</v>
      </c>
      <c r="F12" s="42" t="str">
        <f>'Ratio Analysis'!G13</f>
        <v>-</v>
      </c>
      <c r="G12" s="39" t="str">
        <f>'Ratio Analysis'!K13</f>
        <v/>
      </c>
    </row>
    <row r="13" spans="1:7" ht="17.25" customHeight="1" x14ac:dyDescent="0.25">
      <c r="A13" s="34" t="s">
        <v>200</v>
      </c>
      <c r="B13" s="42" t="str">
        <f>'Ratio Analysis'!H15</f>
        <v>-</v>
      </c>
      <c r="C13" s="38" t="str">
        <f>'Ratio Analysis'!J15</f>
        <v>—</v>
      </c>
      <c r="D13" s="60" t="str">
        <f>IFERROR(IF(OR(B13="-",ISTEXT(B13)),"—",IF(B13&gt;=0.15,"✅",IF(B13&gt;=0.08,"🟡","🔴"))),"—")</f>
        <v>—</v>
      </c>
      <c r="E13" s="37" t="str">
        <f>'Ratio Analysis'!I15</f>
        <v>—</v>
      </c>
      <c r="F13" s="42" t="str">
        <f>'Ratio Analysis'!G15</f>
        <v>-</v>
      </c>
      <c r="G13" s="39" t="str">
        <f>'Ratio Analysis'!K15</f>
        <v/>
      </c>
    </row>
    <row r="14" spans="1:7" ht="17.25" customHeight="1" x14ac:dyDescent="0.25">
      <c r="A14" s="34" t="s">
        <v>204</v>
      </c>
      <c r="B14" s="42" t="str">
        <f>'Ratio Analysis'!H17</f>
        <v>-</v>
      </c>
      <c r="C14" s="38" t="str">
        <f>'Ratio Analysis'!J17</f>
        <v>—</v>
      </c>
      <c r="D14" s="60" t="str">
        <f>IFERROR(IF(OR(B14="-",ISTEXT(B14)),"—",IF(B14&gt;=0.08,"✅",IF(B14&gt;=0.03,"🟡","🔴"))),"—")</f>
        <v>—</v>
      </c>
      <c r="E14" s="37" t="str">
        <f>'Ratio Analysis'!I17</f>
        <v>—</v>
      </c>
      <c r="F14" s="42" t="str">
        <f>'Ratio Analysis'!G17</f>
        <v>-</v>
      </c>
      <c r="G14" s="39" t="str">
        <f>'Ratio Analysis'!K17</f>
        <v/>
      </c>
    </row>
    <row r="15" spans="1:7" ht="17.25" customHeight="1" x14ac:dyDescent="0.25">
      <c r="A15" s="34" t="s">
        <v>373</v>
      </c>
      <c r="B15" s="42" t="str">
        <f>'Ratio Analysis'!H18</f>
        <v>Neg Eq</v>
      </c>
      <c r="C15" s="38" t="str">
        <f>'Ratio Analysis'!J18</f>
        <v>—</v>
      </c>
      <c r="D15" s="60" t="str">
        <f>IFERROR(IF(OR(B15="-",ISTEXT(B15)),"—",IF(B15&gt;=0.15,"✅",IF(B15&gt;=0.08,"🟡","🔴"))),"—")</f>
        <v>—</v>
      </c>
      <c r="E15" s="37" t="str">
        <f>'Ratio Analysis'!I18</f>
        <v>—</v>
      </c>
      <c r="F15" s="42" t="str">
        <f>'Ratio Analysis'!G18</f>
        <v>Neg Eq</v>
      </c>
      <c r="G15" s="39" t="str">
        <f>'Ratio Analysis'!K18</f>
        <v>Negative equity — accumulated losses exceed capital</v>
      </c>
    </row>
    <row r="16" spans="1:7" ht="17.25" customHeight="1" x14ac:dyDescent="0.25">
      <c r="A16" s="34" t="s">
        <v>374</v>
      </c>
      <c r="B16" s="42" t="str">
        <f>'Ratio Analysis'!H20</f>
        <v>-</v>
      </c>
      <c r="C16" s="38" t="str">
        <f>'Ratio Analysis'!J20</f>
        <v>—</v>
      </c>
      <c r="D16" s="60" t="str">
        <f>IFERROR(IF(OR(B16="-",ISTEXT(B16)),"—",IF(B16&gt;=0.12,"✅",IF(B16&gt;=0.06,"🟡","🔴"))),"—")</f>
        <v>—</v>
      </c>
      <c r="E16" s="37" t="str">
        <f>'Ratio Analysis'!I20</f>
        <v>—</v>
      </c>
      <c r="F16" s="42" t="str">
        <f>'Ratio Analysis'!G20</f>
        <v>-</v>
      </c>
      <c r="G16" s="39" t="str">
        <f>'Ratio Analysis'!K20</f>
        <v/>
      </c>
    </row>
    <row r="17" spans="1:7" ht="15" customHeight="1" x14ac:dyDescent="0.25">
      <c r="A17" s="2" t="s">
        <v>375</v>
      </c>
      <c r="B17" s="2"/>
      <c r="C17" s="2"/>
      <c r="D17" s="2"/>
      <c r="E17" s="2"/>
      <c r="F17" s="2"/>
      <c r="G17" s="2"/>
    </row>
    <row r="18" spans="1:7" ht="17.25" customHeight="1" x14ac:dyDescent="0.25">
      <c r="A18" s="34" t="s">
        <v>376</v>
      </c>
      <c r="B18" s="36" t="str">
        <f>'Ratio Analysis'!H23</f>
        <v>Neg Eq</v>
      </c>
      <c r="C18" s="38" t="str">
        <f>'Ratio Analysis'!J23</f>
        <v>—</v>
      </c>
      <c r="D18" s="60" t="str">
        <f>IFERROR(IF(OR(B18="-",ISTEXT(B18)),"—",IF(B18&lt;=1,"✅",IF(B18&lt;=2,"🟡","🔴"))),"—")</f>
        <v>—</v>
      </c>
      <c r="E18" s="37" t="str">
        <f>'Ratio Analysis'!I23</f>
        <v>—</v>
      </c>
      <c r="F18" s="36" t="str">
        <f>'Ratio Analysis'!G23</f>
        <v>Neg Eq</v>
      </c>
      <c r="G18" s="39" t="str">
        <f>'Ratio Analysis'!K23</f>
        <v>Negative equity — debt exceeds net worth</v>
      </c>
    </row>
    <row r="19" spans="1:7" ht="17.25" customHeight="1" x14ac:dyDescent="0.25">
      <c r="A19" s="34" t="s">
        <v>221</v>
      </c>
      <c r="B19" s="36" t="str">
        <f>'Ratio Analysis'!H26</f>
        <v>No Debt</v>
      </c>
      <c r="C19" s="38" t="str">
        <f>'Ratio Analysis'!J26</f>
        <v>—</v>
      </c>
      <c r="D19" s="60" t="str">
        <f>IFERROR(IF(OR(B19="-",ISTEXT(B19)),"—",IF(B19&gt;=3,"✅",IF(B19&gt;=1.5,"🟡","🔴"))),"—")</f>
        <v>—</v>
      </c>
      <c r="E19" s="37" t="str">
        <f>'Ratio Analysis'!I26</f>
        <v>—</v>
      </c>
      <c r="F19" s="36" t="str">
        <f>'Ratio Analysis'!G26</f>
        <v>No Debt</v>
      </c>
      <c r="G19" s="39" t="str">
        <f>'Ratio Analysis'!K26</f>
        <v>No interest burden — debt-free operations</v>
      </c>
    </row>
    <row r="20" spans="1:7" ht="17.25" customHeight="1" x14ac:dyDescent="0.25">
      <c r="A20" s="34" t="s">
        <v>223</v>
      </c>
      <c r="B20" s="36" t="str">
        <f>'Ratio Analysis'!H27</f>
        <v>No Debt</v>
      </c>
      <c r="C20" s="38" t="str">
        <f>'Ratio Analysis'!J27</f>
        <v>—</v>
      </c>
      <c r="D20" s="60" t="str">
        <f>IFERROR(IF(OR(B20="-",ISTEXT(B20)),"—",IF(B20&gt;=1.25,"✅",IF(B20&gt;=1,"🟡","🔴"))),"—")</f>
        <v>—</v>
      </c>
      <c r="E20" s="37" t="str">
        <f>'Ratio Analysis'!I27</f>
        <v>—</v>
      </c>
      <c r="F20" s="36" t="str">
        <f>'Ratio Analysis'!G27</f>
        <v>No Debt</v>
      </c>
      <c r="G20" s="39" t="str">
        <f>'Ratio Analysis'!K27</f>
        <v>No principal/interest obligations</v>
      </c>
    </row>
    <row r="21" spans="1:7" ht="17.25" customHeight="1" x14ac:dyDescent="0.25">
      <c r="A21" s="34" t="s">
        <v>377</v>
      </c>
      <c r="B21" s="36" t="str">
        <f>'Ratio Analysis'!H30</f>
        <v>Neg EBITDA</v>
      </c>
      <c r="C21" s="38" t="str">
        <f>'Ratio Analysis'!J30</f>
        <v>—</v>
      </c>
      <c r="D21" s="60" t="str">
        <f>IFERROR(IF(OR(B21="-",ISTEXT(B21)),"—",IF(B21&lt;=3,"✅",IF(B21&lt;=5,"🟡","🔴"))),"—")</f>
        <v>—</v>
      </c>
      <c r="E21" s="37" t="str">
        <f>'Ratio Analysis'!I30</f>
        <v>—</v>
      </c>
      <c r="F21" s="36" t="str">
        <f>'Ratio Analysis'!G30</f>
        <v>Neg EBITDA</v>
      </c>
      <c r="G21" s="39" t="str">
        <f>'Ratio Analysis'!K30</f>
        <v>Negative EBITDA — focus on cash burn rate instead</v>
      </c>
    </row>
    <row r="22" spans="1:7" ht="15" customHeight="1" x14ac:dyDescent="0.25">
      <c r="A22" s="2" t="s">
        <v>378</v>
      </c>
      <c r="B22" s="2"/>
      <c r="C22" s="2"/>
      <c r="D22" s="2"/>
      <c r="E22" s="2"/>
      <c r="F22" s="2"/>
      <c r="G22" s="2"/>
    </row>
    <row r="23" spans="1:7" ht="17.25" customHeight="1" x14ac:dyDescent="0.25">
      <c r="A23" s="34" t="s">
        <v>379</v>
      </c>
      <c r="B23" s="41">
        <f>'Ratio Analysis'!H35</f>
        <v>0</v>
      </c>
      <c r="C23" s="38" t="str">
        <f>'Ratio Analysis'!J35</f>
        <v>—</v>
      </c>
      <c r="D23" s="60" t="str">
        <f>IFERROR(IF(OR(B23="-",ISTEXT(B23)),"—",IF(B23&lt;=60,"✅",IF(B23&lt;=90,"🟡","🔴"))),"—")</f>
        <v>✅</v>
      </c>
      <c r="E23" s="37" t="str">
        <f>'Ratio Analysis'!I35</f>
        <v>→</v>
      </c>
      <c r="F23" s="41">
        <f>'Ratio Analysis'!G35</f>
        <v>0</v>
      </c>
      <c r="G23" s="39" t="str">
        <f>'Ratio Analysis'!K35</f>
        <v>Cash business</v>
      </c>
    </row>
    <row r="24" spans="1:7" ht="17.25" customHeight="1" x14ac:dyDescent="0.25">
      <c r="A24" s="34" t="s">
        <v>380</v>
      </c>
      <c r="B24" s="41">
        <f>'Ratio Analysis'!H33</f>
        <v>0</v>
      </c>
      <c r="C24" s="38" t="str">
        <f>'Ratio Analysis'!J33</f>
        <v>—</v>
      </c>
      <c r="D24" s="60" t="str">
        <f>IFERROR(IF(OR(B24="-",ISTEXT(B24)),"—",IF(B24&lt;=90,"✅",IF(B24&lt;=180,"🟡","🔴"))),"—")</f>
        <v>✅</v>
      </c>
      <c r="E24" s="37" t="str">
        <f>'Ratio Analysis'!I33</f>
        <v>→</v>
      </c>
      <c r="F24" s="41">
        <f>'Ratio Analysis'!G33</f>
        <v>0</v>
      </c>
      <c r="G24" s="39" t="str">
        <f>'Ratio Analysis'!K33</f>
        <v>No inventory</v>
      </c>
    </row>
    <row r="25" spans="1:7" ht="17.25" customHeight="1" x14ac:dyDescent="0.25">
      <c r="A25" s="34" t="s">
        <v>244</v>
      </c>
      <c r="B25" s="41">
        <f>'Ratio Analysis'!H38</f>
        <v>0</v>
      </c>
      <c r="C25" s="38" t="str">
        <f>'Ratio Analysis'!J38</f>
        <v>—</v>
      </c>
      <c r="D25" s="60" t="str">
        <f>IFERROR(IF(OR(B25="-",ISTEXT(B25)),"—",IF(B25&lt;=60,"✅",IF(B25&lt;=90,"🟡","🔴"))),"—")</f>
        <v>✅</v>
      </c>
      <c r="E25" s="37" t="str">
        <f>'Ratio Analysis'!I38</f>
        <v>→</v>
      </c>
      <c r="F25" s="41">
        <f>'Ratio Analysis'!G38</f>
        <v>0</v>
      </c>
      <c r="G25" s="39" t="str">
        <f>'Ratio Analysis'!K38</f>
        <v>Tight cycle — minimal cash locked in operations</v>
      </c>
    </row>
    <row r="26" spans="1:7" ht="17.25" customHeight="1" x14ac:dyDescent="0.25">
      <c r="A26" s="34" t="s">
        <v>381</v>
      </c>
      <c r="B26" s="36" t="str">
        <f>'Ratio Analysis'!H39</f>
        <v>-</v>
      </c>
      <c r="C26" s="38" t="str">
        <f>'Ratio Analysis'!J39</f>
        <v>—</v>
      </c>
      <c r="D26" s="60" t="str">
        <f>IFERROR(IF(OR(B26="-",ISTEXT(B26)),"—",IF(B26&gt;=0.8,"✅",IF(B26&gt;=0.4,"🟡","🔴"))),"—")</f>
        <v>—</v>
      </c>
      <c r="E26" s="37" t="str">
        <f>'Ratio Analysis'!I39</f>
        <v>—</v>
      </c>
      <c r="F26" s="36" t="str">
        <f>'Ratio Analysis'!G39</f>
        <v>-</v>
      </c>
      <c r="G26" s="39" t="str">
        <f>'Ratio Analysis'!K39</f>
        <v/>
      </c>
    </row>
    <row r="27" spans="1:7" ht="15" customHeight="1" x14ac:dyDescent="0.25">
      <c r="A27" s="2" t="s">
        <v>382</v>
      </c>
      <c r="B27" s="2"/>
      <c r="C27" s="2"/>
      <c r="D27" s="2"/>
      <c r="E27" s="2"/>
      <c r="F27" s="2"/>
      <c r="G27" s="2"/>
    </row>
    <row r="28" spans="1:7" ht="17.25" customHeight="1" x14ac:dyDescent="0.25">
      <c r="A28" s="34" t="s">
        <v>383</v>
      </c>
      <c r="B28" s="61">
        <f>'Ratio Analysis'!H44</f>
        <v>0</v>
      </c>
      <c r="C28" s="38" t="str">
        <f>'Ratio Analysis'!J44</f>
        <v>—</v>
      </c>
      <c r="D28" s="60" t="str">
        <f>IFERROR(IF(OR(B28="-",ISTEXT(B28)),"—",IF(B28&gt;0,"✅","🔴")),"—")</f>
        <v>🔴</v>
      </c>
      <c r="E28" s="37" t="str">
        <f>'Ratio Analysis'!I44</f>
        <v>→</v>
      </c>
      <c r="F28" s="61">
        <f>'Ratio Analysis'!G44</f>
        <v>0</v>
      </c>
      <c r="G28" s="39" t="str">
        <f>'Ratio Analysis'!K44</f>
        <v>Breakeven — all CFO consumed by CapEx</v>
      </c>
    </row>
    <row r="29" spans="1:7" ht="17.25" customHeight="1" x14ac:dyDescent="0.25">
      <c r="A29" s="34" t="s">
        <v>384</v>
      </c>
      <c r="B29" s="36" t="str">
        <f>'Ratio Analysis'!H47</f>
        <v>Zero PAT</v>
      </c>
      <c r="C29" s="38" t="str">
        <f>'Ratio Analysis'!J47</f>
        <v>—</v>
      </c>
      <c r="D29" s="60" t="str">
        <f>IFERROR(IF(OR(B29="-",ISTEXT(B29)),"—",IF(B29&gt;=0.8,"✅",IF(B29&gt;=0.5,"🟡","🔴"))),"—")</f>
        <v>—</v>
      </c>
      <c r="E29" s="37" t="str">
        <f>'Ratio Analysis'!I47</f>
        <v>—</v>
      </c>
      <c r="F29" s="36" t="str">
        <f>'Ratio Analysis'!G47</f>
        <v>Zero PAT</v>
      </c>
      <c r="G29" s="39" t="str">
        <f>'Ratio Analysis'!K47</f>
        <v>Zero profit base</v>
      </c>
    </row>
    <row r="30" spans="1:7" ht="17.25" customHeight="1" x14ac:dyDescent="0.25">
      <c r="A30" s="34" t="s">
        <v>385</v>
      </c>
      <c r="B30" s="42" t="str">
        <f>'Ratio Analysis'!H46</f>
        <v>Debt Free</v>
      </c>
      <c r="C30" s="38" t="str">
        <f>'Ratio Analysis'!J46</f>
        <v>—</v>
      </c>
      <c r="D30" s="60" t="str">
        <f>IFERROR(IF(OR(B30="-",ISTEXT(B30)),"—",IF(B30&gt;=0.2,"✅",IF(B30&gt;=0.1,"🟡","🔴"))),"—")</f>
        <v>—</v>
      </c>
      <c r="E30" s="37" t="str">
        <f>'Ratio Analysis'!I46</f>
        <v>—</v>
      </c>
      <c r="F30" s="42" t="str">
        <f>'Ratio Analysis'!G46</f>
        <v>Debt Free</v>
      </c>
      <c r="G30" s="39" t="str">
        <f>'Ratio Analysis'!K46</f>
        <v>No debt — fully equity funded</v>
      </c>
    </row>
    <row r="32" spans="1:7" ht="15" customHeight="1" x14ac:dyDescent="0.25">
      <c r="A32" s="2" t="s">
        <v>386</v>
      </c>
      <c r="B32" s="2"/>
      <c r="C32" s="2"/>
      <c r="D32" s="2"/>
      <c r="E32" s="2"/>
      <c r="F32" s="2"/>
      <c r="G32" s="2"/>
    </row>
    <row r="33" spans="1:11" ht="17.25" customHeight="1" x14ac:dyDescent="0.25">
      <c r="A33" s="34" t="s">
        <v>387</v>
      </c>
      <c r="B33" s="62" t="str">
        <f>'Fraud &amp; Distress Scores'!F16</f>
        <v>-</v>
      </c>
      <c r="D33" s="60" t="str">
        <f>IFERROR(IF('Fraud &amp; Distress Scores'!F16="-","—",IF('Fraud &amp; Distress Scores'!F16&gt;-1.78,"🔴",IF('Fraud &amp; Distress Scores'!F16&gt;-2.22,"🟡","✅"))),"—")</f>
        <v>—</v>
      </c>
      <c r="G33" s="39" t="str">
        <f>IFERROR(IF('Fraud &amp; Distress Scores'!F16="-","No data",IF('Fraud &amp; Distress Scores'!F16&gt;-1.78,"Probable earnings manipulator — deep dive into accruals, revenue recognition",IF('Fraud &amp; Distress Scores'!F16&gt;-2.22,"Grey zone — warrants investigation","Low manipulation probability — earnings appear genuine"))),"No data")</f>
        <v>No data</v>
      </c>
    </row>
    <row r="34" spans="1:11" ht="17.25" customHeight="1" x14ac:dyDescent="0.25">
      <c r="A34" s="34" t="s">
        <v>388</v>
      </c>
      <c r="B34" s="62" t="str">
        <f>'Fraud &amp; Distress Scores'!G28</f>
        <v>-</v>
      </c>
      <c r="D34" s="60" t="str">
        <f>IFERROR(IF('Fraud &amp; Distress Scores'!G28="-","—",IF('Fraud &amp; Distress Scores'!G28&gt;=2.99,"✅",IF('Fraud &amp; Distress Scores'!G28&gt;=1.81,"🟡","🔴"))),"—")</f>
        <v>—</v>
      </c>
      <c r="G34" s="39" t="str">
        <f>IFERROR(IF('Fraud &amp; Distress Scores'!G28="-","No data",IF('Fraud &amp; Distress Scores'!G28&gt;=2.99,"Safe zone — low bankruptcy probability",IF('Fraud &amp; Distress Scores'!G28&gt;=1.81,"Grey zone — monitor closely for deterioration","Distress zone — significant financial stress, assess going concern"))),"No data")</f>
        <v>No data</v>
      </c>
    </row>
    <row r="35" spans="1:11" ht="17.25" customHeight="1" x14ac:dyDescent="0.25">
      <c r="A35" s="34" t="s">
        <v>389</v>
      </c>
      <c r="B35" s="63">
        <f>'Fraud &amp; Distress Scores'!F44</f>
        <v>1</v>
      </c>
      <c r="D35" s="60" t="str">
        <f>IF('Fraud &amp; Distress Scores'!F44&gt;=8,"✅",IF('Fraud &amp; Distress Scores'!F44&gt;=5,"🟡","🔴"))</f>
        <v>🔴</v>
      </c>
      <c r="G35" s="39" t="str">
        <f>IF('Fraud &amp; Distress Scores'!F44&gt;=8,"Strong financial health — high conviction",IF('Fraud &amp; Distress Scores'!F44&gt;=5,"Mixed signals — selective strengths and weaknesses","Weak fundamentals — multiple financial concerns"))</f>
        <v>Weak fundamentals — multiple financial concerns</v>
      </c>
    </row>
    <row r="37" spans="1:11" ht="15" customHeight="1" x14ac:dyDescent="0.25">
      <c r="A37" s="5" t="s">
        <v>170</v>
      </c>
      <c r="B37" s="5"/>
      <c r="C37" s="5"/>
      <c r="D37" s="5"/>
      <c r="E37" s="5"/>
      <c r="F37" s="5"/>
      <c r="G37" s="5"/>
      <c r="H37" s="5"/>
      <c r="I37" s="5"/>
      <c r="J37" s="5"/>
      <c r="K37" s="5"/>
    </row>
  </sheetData>
  <sheetProtection password="D63A" sheet="1"/>
  <mergeCells count="9">
    <mergeCell ref="A22:G22"/>
    <mergeCell ref="A27:G27"/>
    <mergeCell ref="A32:G32"/>
    <mergeCell ref="A37:K37"/>
    <mergeCell ref="A1:G2"/>
    <mergeCell ref="A3:G3"/>
    <mergeCell ref="A6:G6"/>
    <mergeCell ref="A11:G11"/>
    <mergeCell ref="A17:G17"/>
  </mergeCells>
  <pageMargins left="0.5" right="0.5" top="0.75" bottom="0.75" header="0.3" footer="0.3"/>
  <pageSetup paperSize="9" fitToHeight="0" orientation="landscape" horizontalDpi="300" verticalDpi="300"/>
  <headerFooter>
    <oddHeader>&amp;C&amp;"Calibri,Bold"&amp;12 &amp;"Calibri,Regular"Financial Ratio Analysis Toolkit | CA Rushabh Jamdade</oddHeader>
    <oddFooter>&amp;LCA Rushabh Jamdade&amp;C&amp;D&amp;RPage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9"/>
  <sheetViews>
    <sheetView tabSelected="1" zoomScaleNormal="100" workbookViewId="0">
      <pane xSplit="1" ySplit="5" topLeftCell="B31" activePane="bottomRight" state="frozen"/>
      <selection pane="topRight" activeCell="B1" sqref="B1"/>
      <selection pane="bottomLeft" activeCell="A6" sqref="A6"/>
      <selection pane="bottomRight" activeCell="G4" sqref="G4"/>
    </sheetView>
  </sheetViews>
  <sheetFormatPr defaultColWidth="8.7109375" defaultRowHeight="15" x14ac:dyDescent="0.25"/>
  <cols>
    <col min="1" max="1" width="42" customWidth="1"/>
    <col min="2" max="7" width="14" customWidth="1"/>
  </cols>
  <sheetData>
    <row r="1" spans="1:7" ht="15" customHeight="1" x14ac:dyDescent="0.25">
      <c r="A1" s="1" t="s">
        <v>390</v>
      </c>
      <c r="B1" s="1"/>
      <c r="C1" s="1"/>
      <c r="D1" s="1"/>
      <c r="E1" s="1"/>
      <c r="F1" s="1"/>
      <c r="G1" s="1"/>
    </row>
    <row r="2" spans="1:7" ht="15" customHeight="1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65" t="s">
        <v>391</v>
      </c>
      <c r="B3" s="65"/>
      <c r="C3" s="65"/>
      <c r="D3" s="65"/>
      <c r="E3" s="65"/>
      <c r="F3" s="65"/>
      <c r="G3" s="65"/>
    </row>
    <row r="5" spans="1:7" ht="15" customHeight="1" x14ac:dyDescent="0.25">
      <c r="A5" s="32" t="s">
        <v>392</v>
      </c>
      <c r="B5" s="32" t="s">
        <v>393</v>
      </c>
      <c r="C5" s="32" t="s">
        <v>54</v>
      </c>
      <c r="D5" s="32" t="s">
        <v>55</v>
      </c>
      <c r="E5" s="32" t="s">
        <v>56</v>
      </c>
      <c r="F5" s="32" t="s">
        <v>394</v>
      </c>
      <c r="G5" s="32" t="s">
        <v>395</v>
      </c>
    </row>
    <row r="6" spans="1:7" ht="15" customHeight="1" x14ac:dyDescent="0.25">
      <c r="A6" s="2" t="s">
        <v>396</v>
      </c>
      <c r="B6" s="2"/>
      <c r="C6" s="2"/>
      <c r="D6" s="2"/>
      <c r="E6" s="2"/>
      <c r="F6" s="2"/>
      <c r="G6" s="2"/>
    </row>
    <row r="7" spans="1:7" ht="15" customHeight="1" x14ac:dyDescent="0.25">
      <c r="A7" s="48" t="s">
        <v>114</v>
      </c>
      <c r="B7" s="64" t="str">
        <f>IFERROR('Data Input'!B54/'Data Input'!B54,"-")</f>
        <v>-</v>
      </c>
      <c r="C7" s="64" t="str">
        <f>IFERROR('Data Input'!C54/'Data Input'!C54,"-")</f>
        <v>-</v>
      </c>
      <c r="D7" s="64" t="str">
        <f>IFERROR('Data Input'!D54/'Data Input'!D54,"-")</f>
        <v>-</v>
      </c>
      <c r="E7" s="64" t="str">
        <f>IFERROR('Data Input'!E54/'Data Input'!E54,"-")</f>
        <v>-</v>
      </c>
      <c r="F7" s="64" t="str">
        <f>IFERROR('Data Input'!F54/'Data Input'!F54,"-")</f>
        <v>-</v>
      </c>
      <c r="G7" s="64" t="str">
        <f>IFERROR(AVERAGE(B7:F7),"-")</f>
        <v>-</v>
      </c>
    </row>
    <row r="8" spans="1:7" ht="15" customHeight="1" x14ac:dyDescent="0.25">
      <c r="A8" s="55" t="s">
        <v>116</v>
      </c>
      <c r="B8" s="42" t="str">
        <f>IFERROR('Data Input'!B55/'Data Input'!B54,"-")</f>
        <v>-</v>
      </c>
      <c r="C8" s="42" t="str">
        <f>IFERROR('Data Input'!C55/'Data Input'!C54,"-")</f>
        <v>-</v>
      </c>
      <c r="D8" s="42" t="str">
        <f>IFERROR('Data Input'!D55/'Data Input'!D54,"-")</f>
        <v>-</v>
      </c>
      <c r="E8" s="42" t="str">
        <f>IFERROR('Data Input'!E55/'Data Input'!E54,"-")</f>
        <v>-</v>
      </c>
      <c r="F8" s="42" t="str">
        <f>IFERROR('Data Input'!F55/'Data Input'!F54,"-")</f>
        <v>-</v>
      </c>
      <c r="G8" s="42" t="str">
        <f>IFERROR(AVERAGE(B8:F8),"-")</f>
        <v>-</v>
      </c>
    </row>
    <row r="9" spans="1:7" ht="15" customHeight="1" x14ac:dyDescent="0.25">
      <c r="A9" s="48" t="s">
        <v>118</v>
      </c>
      <c r="B9" s="64" t="str">
        <f>IFERROR('Data Input'!B56/'Data Input'!B54,"-")</f>
        <v>-</v>
      </c>
      <c r="C9" s="64" t="str">
        <f>IFERROR('Data Input'!C56/'Data Input'!C54,"-")</f>
        <v>-</v>
      </c>
      <c r="D9" s="64" t="str">
        <f>IFERROR('Data Input'!D56/'Data Input'!D54,"-")</f>
        <v>-</v>
      </c>
      <c r="E9" s="64" t="str">
        <f>IFERROR('Data Input'!E56/'Data Input'!E54,"-")</f>
        <v>-</v>
      </c>
      <c r="F9" s="64" t="str">
        <f>IFERROR('Data Input'!F56/'Data Input'!F54,"-")</f>
        <v>-</v>
      </c>
      <c r="G9" s="64" t="str">
        <f>IFERROR(AVERAGE(B9:F9),"-")</f>
        <v>-</v>
      </c>
    </row>
    <row r="11" spans="1:7" ht="15" customHeight="1" x14ac:dyDescent="0.25">
      <c r="A11" s="55" t="s">
        <v>397</v>
      </c>
      <c r="B11" s="42" t="str">
        <f>IFERROR('Data Input'!B58/'Data Input'!B54,"-")</f>
        <v>-</v>
      </c>
      <c r="C11" s="42" t="str">
        <f>IFERROR('Data Input'!C58/'Data Input'!C54,"-")</f>
        <v>-</v>
      </c>
      <c r="D11" s="42" t="str">
        <f>IFERROR('Data Input'!D58/'Data Input'!D54,"-")</f>
        <v>-</v>
      </c>
      <c r="E11" s="42" t="str">
        <f>IFERROR('Data Input'!E58/'Data Input'!E54,"-")</f>
        <v>-</v>
      </c>
      <c r="F11" s="42" t="str">
        <f>IFERROR('Data Input'!F58/'Data Input'!F54,"-")</f>
        <v>-</v>
      </c>
      <c r="G11" s="42" t="str">
        <f t="shared" ref="G11:G17" si="0">IFERROR(AVERAGE(B11:F11),"-")</f>
        <v>-</v>
      </c>
    </row>
    <row r="12" spans="1:7" ht="15" customHeight="1" x14ac:dyDescent="0.25">
      <c r="A12" s="55" t="s">
        <v>398</v>
      </c>
      <c r="B12" s="42" t="str">
        <f>IFERROR('Data Input'!B59/'Data Input'!B54,"-")</f>
        <v>-</v>
      </c>
      <c r="C12" s="42" t="str">
        <f>IFERROR('Data Input'!C59/'Data Input'!C54,"-")</f>
        <v>-</v>
      </c>
      <c r="D12" s="42" t="str">
        <f>IFERROR('Data Input'!D59/'Data Input'!D54,"-")</f>
        <v>-</v>
      </c>
      <c r="E12" s="42" t="str">
        <f>IFERROR('Data Input'!E59/'Data Input'!E54,"-")</f>
        <v>-</v>
      </c>
      <c r="F12" s="42" t="str">
        <f>IFERROR('Data Input'!F59/'Data Input'!F54,"-")</f>
        <v>-</v>
      </c>
      <c r="G12" s="42" t="str">
        <f t="shared" si="0"/>
        <v>-</v>
      </c>
    </row>
    <row r="13" spans="1:7" ht="15" customHeight="1" x14ac:dyDescent="0.25">
      <c r="A13" s="55" t="s">
        <v>399</v>
      </c>
      <c r="B13" s="42" t="str">
        <f>IFERROR('Data Input'!B60/'Data Input'!B54,"-")</f>
        <v>-</v>
      </c>
      <c r="C13" s="42" t="str">
        <f>IFERROR('Data Input'!C60/'Data Input'!C54,"-")</f>
        <v>-</v>
      </c>
      <c r="D13" s="42" t="str">
        <f>IFERROR('Data Input'!D60/'Data Input'!D54,"-")</f>
        <v>-</v>
      </c>
      <c r="E13" s="42" t="str">
        <f>IFERROR('Data Input'!E60/'Data Input'!E54,"-")</f>
        <v>-</v>
      </c>
      <c r="F13" s="42" t="str">
        <f>IFERROR('Data Input'!F60/'Data Input'!F54,"-")</f>
        <v>-</v>
      </c>
      <c r="G13" s="42" t="str">
        <f t="shared" si="0"/>
        <v>-</v>
      </c>
    </row>
    <row r="14" spans="1:7" ht="15" customHeight="1" x14ac:dyDescent="0.25">
      <c r="A14" s="55" t="s">
        <v>125</v>
      </c>
      <c r="B14" s="42" t="str">
        <f>IFERROR('Data Input'!B61/'Data Input'!B54,"-")</f>
        <v>-</v>
      </c>
      <c r="C14" s="42" t="str">
        <f>IFERROR('Data Input'!C61/'Data Input'!C54,"-")</f>
        <v>-</v>
      </c>
      <c r="D14" s="42" t="str">
        <f>IFERROR('Data Input'!D61/'Data Input'!D54,"-")</f>
        <v>-</v>
      </c>
      <c r="E14" s="42" t="str">
        <f>IFERROR('Data Input'!E61/'Data Input'!E54,"-")</f>
        <v>-</v>
      </c>
      <c r="F14" s="42" t="str">
        <f>IFERROR('Data Input'!F61/'Data Input'!F54,"-")</f>
        <v>-</v>
      </c>
      <c r="G14" s="42" t="str">
        <f t="shared" si="0"/>
        <v>-</v>
      </c>
    </row>
    <row r="15" spans="1:7" ht="15" customHeight="1" x14ac:dyDescent="0.25">
      <c r="A15" s="55" t="s">
        <v>127</v>
      </c>
      <c r="B15" s="42" t="str">
        <f>IFERROR('Data Input'!B62/'Data Input'!B54,"-")</f>
        <v>-</v>
      </c>
      <c r="C15" s="42" t="str">
        <f>IFERROR('Data Input'!C62/'Data Input'!C54,"-")</f>
        <v>-</v>
      </c>
      <c r="D15" s="42" t="str">
        <f>IFERROR('Data Input'!D62/'Data Input'!D54,"-")</f>
        <v>-</v>
      </c>
      <c r="E15" s="42" t="str">
        <f>IFERROR('Data Input'!E62/'Data Input'!E54,"-")</f>
        <v>-</v>
      </c>
      <c r="F15" s="42" t="str">
        <f>IFERROR('Data Input'!F62/'Data Input'!F54,"-")</f>
        <v>-</v>
      </c>
      <c r="G15" s="42" t="str">
        <f t="shared" si="0"/>
        <v>-</v>
      </c>
    </row>
    <row r="16" spans="1:7" ht="15" customHeight="1" x14ac:dyDescent="0.25">
      <c r="A16" s="55" t="s">
        <v>129</v>
      </c>
      <c r="B16" s="42" t="str">
        <f>IFERROR('Data Input'!B63/'Data Input'!B54,"-")</f>
        <v>-</v>
      </c>
      <c r="C16" s="42" t="str">
        <f>IFERROR('Data Input'!C63/'Data Input'!C54,"-")</f>
        <v>-</v>
      </c>
      <c r="D16" s="42" t="str">
        <f>IFERROR('Data Input'!D63/'Data Input'!D54,"-")</f>
        <v>-</v>
      </c>
      <c r="E16" s="42" t="str">
        <f>IFERROR('Data Input'!E63/'Data Input'!E54,"-")</f>
        <v>-</v>
      </c>
      <c r="F16" s="42" t="str">
        <f>IFERROR('Data Input'!F63/'Data Input'!F54,"-")</f>
        <v>-</v>
      </c>
      <c r="G16" s="42" t="str">
        <f t="shared" si="0"/>
        <v>-</v>
      </c>
    </row>
    <row r="17" spans="1:7" ht="15" customHeight="1" x14ac:dyDescent="0.25">
      <c r="A17" s="48" t="s">
        <v>131</v>
      </c>
      <c r="B17" s="64" t="str">
        <f>IFERROR('Data Input'!B64/'Data Input'!B54,"-")</f>
        <v>-</v>
      </c>
      <c r="C17" s="64" t="str">
        <f>IFERROR('Data Input'!C64/'Data Input'!C54,"-")</f>
        <v>-</v>
      </c>
      <c r="D17" s="64" t="str">
        <f>IFERROR('Data Input'!D64/'Data Input'!D54,"-")</f>
        <v>-</v>
      </c>
      <c r="E17" s="64" t="str">
        <f>IFERROR('Data Input'!E64/'Data Input'!E54,"-")</f>
        <v>-</v>
      </c>
      <c r="F17" s="64" t="str">
        <f>IFERROR('Data Input'!F64/'Data Input'!F54,"-")</f>
        <v>-</v>
      </c>
      <c r="G17" s="64" t="str">
        <f t="shared" si="0"/>
        <v>-</v>
      </c>
    </row>
    <row r="19" spans="1:7" ht="15" customHeight="1" x14ac:dyDescent="0.25">
      <c r="A19" s="48" t="s">
        <v>400</v>
      </c>
      <c r="B19" s="64" t="str">
        <f>IFERROR('Data Input'!B68/'Data Input'!B54,"-")</f>
        <v>-</v>
      </c>
      <c r="C19" s="64" t="str">
        <f>IFERROR('Data Input'!C68/'Data Input'!C54,"-")</f>
        <v>-</v>
      </c>
      <c r="D19" s="64" t="str">
        <f>IFERROR('Data Input'!D68/'Data Input'!D54,"-")</f>
        <v>-</v>
      </c>
      <c r="E19" s="64" t="str">
        <f>IFERROR('Data Input'!E68/'Data Input'!E54,"-")</f>
        <v>-</v>
      </c>
      <c r="F19" s="64" t="str">
        <f>IFERROR('Data Input'!F68/'Data Input'!F54,"-")</f>
        <v>-</v>
      </c>
      <c r="G19" s="64" t="str">
        <f>IFERROR(AVERAGE(B19:F19),"-")</f>
        <v>-</v>
      </c>
    </row>
    <row r="20" spans="1:7" ht="15" customHeight="1" x14ac:dyDescent="0.25">
      <c r="A20" s="55" t="s">
        <v>401</v>
      </c>
      <c r="B20" s="42" t="str">
        <f>IFERROR('Data Input'!B69/'Data Input'!B54,"-")</f>
        <v>-</v>
      </c>
      <c r="C20" s="42" t="str">
        <f>IFERROR('Data Input'!C69/'Data Input'!C54,"-")</f>
        <v>-</v>
      </c>
      <c r="D20" s="42" t="str">
        <f>IFERROR('Data Input'!D69/'Data Input'!D54,"-")</f>
        <v>-</v>
      </c>
      <c r="E20" s="42" t="str">
        <f>IFERROR('Data Input'!E69/'Data Input'!E54,"-")</f>
        <v>-</v>
      </c>
      <c r="F20" s="42" t="str">
        <f>IFERROR('Data Input'!F69/'Data Input'!F54,"-")</f>
        <v>-</v>
      </c>
      <c r="G20" s="42" t="str">
        <f>IFERROR(AVERAGE(B20:F20),"-")</f>
        <v>-</v>
      </c>
    </row>
    <row r="21" spans="1:7" ht="15" customHeight="1" x14ac:dyDescent="0.25">
      <c r="A21" s="48" t="s">
        <v>402</v>
      </c>
      <c r="B21" s="64" t="str">
        <f>IFERROR('Data Input'!B70/'Data Input'!B54,"-")</f>
        <v>-</v>
      </c>
      <c r="C21" s="64" t="str">
        <f>IFERROR('Data Input'!C70/'Data Input'!C54,"-")</f>
        <v>-</v>
      </c>
      <c r="D21" s="64" t="str">
        <f>IFERROR('Data Input'!D70/'Data Input'!D54,"-")</f>
        <v>-</v>
      </c>
      <c r="E21" s="64" t="str">
        <f>IFERROR('Data Input'!E70/'Data Input'!E54,"-")</f>
        <v>-</v>
      </c>
      <c r="F21" s="64" t="str">
        <f>IFERROR('Data Input'!F70/'Data Input'!F54,"-")</f>
        <v>-</v>
      </c>
      <c r="G21" s="64" t="str">
        <f>IFERROR(AVERAGE(B21:F21),"-")</f>
        <v>-</v>
      </c>
    </row>
    <row r="23" spans="1:7" ht="15" customHeight="1" x14ac:dyDescent="0.25">
      <c r="A23" s="2" t="s">
        <v>403</v>
      </c>
      <c r="B23" s="2"/>
      <c r="C23" s="2"/>
      <c r="D23" s="2"/>
      <c r="E23" s="2"/>
      <c r="F23" s="2"/>
      <c r="G23" s="2"/>
    </row>
    <row r="24" spans="1:7" ht="15" customHeight="1" x14ac:dyDescent="0.25">
      <c r="A24" s="55" t="s">
        <v>404</v>
      </c>
      <c r="B24" s="42" t="str">
        <f>IFERROR('Data Input'!B14/'Data Input'!B29,"-")</f>
        <v>-</v>
      </c>
      <c r="C24" s="42" t="str">
        <f>IFERROR('Data Input'!C14/'Data Input'!C29,"-")</f>
        <v>-</v>
      </c>
      <c r="D24" s="42" t="str">
        <f>IFERROR('Data Input'!D14/'Data Input'!D29,"-")</f>
        <v>-</v>
      </c>
      <c r="E24" s="42" t="str">
        <f>IFERROR('Data Input'!E14/'Data Input'!E29,"-")</f>
        <v>-</v>
      </c>
      <c r="F24" s="42" t="str">
        <f>IFERROR('Data Input'!F14/'Data Input'!F29,"-")</f>
        <v>-</v>
      </c>
      <c r="G24" s="42" t="str">
        <f t="shared" ref="G24:G29" si="1">IFERROR(AVERAGE(B24:F24),"-")</f>
        <v>-</v>
      </c>
    </row>
    <row r="25" spans="1:7" ht="15" customHeight="1" x14ac:dyDescent="0.25">
      <c r="A25" s="55" t="s">
        <v>62</v>
      </c>
      <c r="B25" s="42" t="str">
        <f>IFERROR('Data Input'!B15/'Data Input'!B29,"-")</f>
        <v>-</v>
      </c>
      <c r="C25" s="42" t="str">
        <f>IFERROR('Data Input'!C15/'Data Input'!C29,"-")</f>
        <v>-</v>
      </c>
      <c r="D25" s="42" t="str">
        <f>IFERROR('Data Input'!D15/'Data Input'!D29,"-")</f>
        <v>-</v>
      </c>
      <c r="E25" s="42" t="str">
        <f>IFERROR('Data Input'!E15/'Data Input'!E29,"-")</f>
        <v>-</v>
      </c>
      <c r="F25" s="42" t="str">
        <f>IFERROR('Data Input'!F15/'Data Input'!F29,"-")</f>
        <v>-</v>
      </c>
      <c r="G25" s="42" t="str">
        <f t="shared" si="1"/>
        <v>-</v>
      </c>
    </row>
    <row r="26" spans="1:7" ht="15" customHeight="1" x14ac:dyDescent="0.25">
      <c r="A26" s="55" t="s">
        <v>405</v>
      </c>
      <c r="B26" s="42" t="str">
        <f>IFERROR('Data Input'!B16/'Data Input'!B29,"-")</f>
        <v>-</v>
      </c>
      <c r="C26" s="42" t="str">
        <f>IFERROR('Data Input'!C16/'Data Input'!C29,"-")</f>
        <v>-</v>
      </c>
      <c r="D26" s="42" t="str">
        <f>IFERROR('Data Input'!D16/'Data Input'!D29,"-")</f>
        <v>-</v>
      </c>
      <c r="E26" s="42" t="str">
        <f>IFERROR('Data Input'!E16/'Data Input'!E29,"-")</f>
        <v>-</v>
      </c>
      <c r="F26" s="42" t="str">
        <f>IFERROR('Data Input'!F16/'Data Input'!F29,"-")</f>
        <v>-</v>
      </c>
      <c r="G26" s="42" t="str">
        <f t="shared" si="1"/>
        <v>-</v>
      </c>
    </row>
    <row r="27" spans="1:7" ht="15" customHeight="1" x14ac:dyDescent="0.25">
      <c r="A27" s="55" t="s">
        <v>66</v>
      </c>
      <c r="B27" s="42" t="str">
        <f>IFERROR('Data Input'!B17/'Data Input'!B29,"-")</f>
        <v>-</v>
      </c>
      <c r="C27" s="42" t="str">
        <f>IFERROR('Data Input'!C17/'Data Input'!C29,"-")</f>
        <v>-</v>
      </c>
      <c r="D27" s="42" t="str">
        <f>IFERROR('Data Input'!D17/'Data Input'!D29,"-")</f>
        <v>-</v>
      </c>
      <c r="E27" s="42" t="str">
        <f>IFERROR('Data Input'!E17/'Data Input'!E29,"-")</f>
        <v>-</v>
      </c>
      <c r="F27" s="42" t="str">
        <f>IFERROR('Data Input'!F17/'Data Input'!F29,"-")</f>
        <v>-</v>
      </c>
      <c r="G27" s="42" t="str">
        <f t="shared" si="1"/>
        <v>-</v>
      </c>
    </row>
    <row r="28" spans="1:7" ht="15" customHeight="1" x14ac:dyDescent="0.25">
      <c r="A28" s="55" t="s">
        <v>68</v>
      </c>
      <c r="B28" s="42" t="str">
        <f>IFERROR('Data Input'!B18/'Data Input'!B29,"-")</f>
        <v>-</v>
      </c>
      <c r="C28" s="42" t="str">
        <f>IFERROR('Data Input'!C18/'Data Input'!C29,"-")</f>
        <v>-</v>
      </c>
      <c r="D28" s="42" t="str">
        <f>IFERROR('Data Input'!D18/'Data Input'!D29,"-")</f>
        <v>-</v>
      </c>
      <c r="E28" s="42" t="str">
        <f>IFERROR('Data Input'!E18/'Data Input'!E29,"-")</f>
        <v>-</v>
      </c>
      <c r="F28" s="42" t="str">
        <f>IFERROR('Data Input'!F18/'Data Input'!F29,"-")</f>
        <v>-</v>
      </c>
      <c r="G28" s="42" t="str">
        <f t="shared" si="1"/>
        <v>-</v>
      </c>
    </row>
    <row r="29" spans="1:7" ht="15" customHeight="1" x14ac:dyDescent="0.25">
      <c r="A29" s="48" t="s">
        <v>70</v>
      </c>
      <c r="B29" s="64" t="str">
        <f>IFERROR('Data Input'!B19/'Data Input'!B29,"-")</f>
        <v>-</v>
      </c>
      <c r="C29" s="64" t="str">
        <f>IFERROR('Data Input'!C19/'Data Input'!C29,"-")</f>
        <v>-</v>
      </c>
      <c r="D29" s="64" t="str">
        <f>IFERROR('Data Input'!D19/'Data Input'!D29,"-")</f>
        <v>-</v>
      </c>
      <c r="E29" s="64" t="str">
        <f>IFERROR('Data Input'!E19/'Data Input'!E29,"-")</f>
        <v>-</v>
      </c>
      <c r="F29" s="64" t="str">
        <f>IFERROR('Data Input'!F19/'Data Input'!F29,"-")</f>
        <v>-</v>
      </c>
      <c r="G29" s="64" t="str">
        <f t="shared" si="1"/>
        <v>-</v>
      </c>
    </row>
    <row r="31" spans="1:7" ht="15" customHeight="1" x14ac:dyDescent="0.25">
      <c r="A31" s="55" t="s">
        <v>406</v>
      </c>
      <c r="B31" s="42" t="str">
        <f>IFERROR('Data Input'!B21/'Data Input'!B29,"-")</f>
        <v>-</v>
      </c>
      <c r="C31" s="42" t="str">
        <f>IFERROR('Data Input'!C21/'Data Input'!C29,"-")</f>
        <v>-</v>
      </c>
      <c r="D31" s="42" t="str">
        <f>IFERROR('Data Input'!D21/'Data Input'!D29,"-")</f>
        <v>-</v>
      </c>
      <c r="E31" s="42" t="str">
        <f>IFERROR('Data Input'!E21/'Data Input'!E29,"-")</f>
        <v>-</v>
      </c>
      <c r="F31" s="42" t="str">
        <f>IFERROR('Data Input'!F21/'Data Input'!F29,"-")</f>
        <v>-</v>
      </c>
      <c r="G31" s="42" t="str">
        <f>IFERROR(AVERAGE(B31:F31),"-")</f>
        <v>-</v>
      </c>
    </row>
    <row r="32" spans="1:7" ht="15" customHeight="1" x14ac:dyDescent="0.25">
      <c r="A32" s="55" t="s">
        <v>407</v>
      </c>
      <c r="B32" s="42" t="str">
        <f>IFERROR('Data Input'!B22/'Data Input'!B29,"-")</f>
        <v>-</v>
      </c>
      <c r="C32" s="42" t="str">
        <f>IFERROR('Data Input'!C22/'Data Input'!C29,"-")</f>
        <v>-</v>
      </c>
      <c r="D32" s="42" t="str">
        <f>IFERROR('Data Input'!D22/'Data Input'!D29,"-")</f>
        <v>-</v>
      </c>
      <c r="E32" s="42" t="str">
        <f>IFERROR('Data Input'!E22/'Data Input'!E29,"-")</f>
        <v>-</v>
      </c>
      <c r="F32" s="42" t="str">
        <f>IFERROR('Data Input'!F22/'Data Input'!F29,"-")</f>
        <v>-</v>
      </c>
      <c r="G32" s="42" t="str">
        <f>IFERROR(AVERAGE(B32:F32),"-")</f>
        <v>-</v>
      </c>
    </row>
    <row r="33" spans="1:7" ht="15" customHeight="1" x14ac:dyDescent="0.25">
      <c r="A33" s="55" t="s">
        <v>77</v>
      </c>
      <c r="B33" s="42" t="str">
        <f>IFERROR('Data Input'!B24/'Data Input'!B29,"-")</f>
        <v>-</v>
      </c>
      <c r="C33" s="42" t="str">
        <f>IFERROR('Data Input'!C24/'Data Input'!C29,"-")</f>
        <v>-</v>
      </c>
      <c r="D33" s="42" t="str">
        <f>IFERROR('Data Input'!D24/'Data Input'!D29,"-")</f>
        <v>-</v>
      </c>
      <c r="E33" s="42" t="str">
        <f>IFERROR('Data Input'!E24/'Data Input'!E29,"-")</f>
        <v>-</v>
      </c>
      <c r="F33" s="42" t="str">
        <f>IFERROR('Data Input'!F24/'Data Input'!F29,"-")</f>
        <v>-</v>
      </c>
      <c r="G33" s="42" t="str">
        <f>IFERROR(AVERAGE(B33:F33),"-")</f>
        <v>-</v>
      </c>
    </row>
    <row r="34" spans="1:7" ht="15" customHeight="1" x14ac:dyDescent="0.25">
      <c r="A34" s="55" t="s">
        <v>81</v>
      </c>
      <c r="B34" s="42" t="str">
        <f>IFERROR('Data Input'!B26/'Data Input'!B29,"-")</f>
        <v>-</v>
      </c>
      <c r="C34" s="42" t="str">
        <f>IFERROR('Data Input'!C26/'Data Input'!C29,"-")</f>
        <v>-</v>
      </c>
      <c r="D34" s="42" t="str">
        <f>IFERROR('Data Input'!D26/'Data Input'!D29,"-")</f>
        <v>-</v>
      </c>
      <c r="E34" s="42" t="str">
        <f>IFERROR('Data Input'!E26/'Data Input'!E29,"-")</f>
        <v>-</v>
      </c>
      <c r="F34" s="42" t="str">
        <f>IFERROR('Data Input'!F26/'Data Input'!F29,"-")</f>
        <v>-</v>
      </c>
      <c r="G34" s="42" t="str">
        <f>IFERROR(AVERAGE(B34:F34),"-")</f>
        <v>-</v>
      </c>
    </row>
    <row r="35" spans="1:7" ht="15" customHeight="1" x14ac:dyDescent="0.25">
      <c r="A35" s="48" t="s">
        <v>83</v>
      </c>
      <c r="B35" s="64" t="str">
        <f>IFERROR('Data Input'!B27/'Data Input'!B29,"-")</f>
        <v>-</v>
      </c>
      <c r="C35" s="64" t="str">
        <f>IFERROR('Data Input'!C27/'Data Input'!C29,"-")</f>
        <v>-</v>
      </c>
      <c r="D35" s="64" t="str">
        <f>IFERROR('Data Input'!D27/'Data Input'!D29,"-")</f>
        <v>-</v>
      </c>
      <c r="E35" s="64" t="str">
        <f>IFERROR('Data Input'!E27/'Data Input'!E29,"-")</f>
        <v>-</v>
      </c>
      <c r="F35" s="64" t="str">
        <f>IFERROR('Data Input'!F27/'Data Input'!F29,"-")</f>
        <v>-</v>
      </c>
      <c r="G35" s="64" t="str">
        <f>IFERROR(AVERAGE(B35:F35),"-")</f>
        <v>-</v>
      </c>
    </row>
    <row r="37" spans="1:7" ht="15" customHeight="1" x14ac:dyDescent="0.25">
      <c r="A37" s="55" t="s">
        <v>86</v>
      </c>
      <c r="B37" s="42" t="str">
        <f>IFERROR('Data Input'!B32/'Data Input'!B29,"-")</f>
        <v>-</v>
      </c>
      <c r="C37" s="42" t="str">
        <f>IFERROR('Data Input'!C32/'Data Input'!C29,"-")</f>
        <v>-</v>
      </c>
      <c r="D37" s="42" t="str">
        <f>IFERROR('Data Input'!D32/'Data Input'!D29,"-")</f>
        <v>-</v>
      </c>
      <c r="E37" s="42" t="str">
        <f>IFERROR('Data Input'!E32/'Data Input'!E29,"-")</f>
        <v>-</v>
      </c>
      <c r="F37" s="42" t="str">
        <f>IFERROR('Data Input'!F32/'Data Input'!F29,"-")</f>
        <v>-</v>
      </c>
      <c r="G37" s="42" t="str">
        <f>IFERROR(AVERAGE(B37:F37),"-")</f>
        <v>-</v>
      </c>
    </row>
    <row r="38" spans="1:7" ht="15" customHeight="1" x14ac:dyDescent="0.25">
      <c r="A38" s="55" t="s">
        <v>88</v>
      </c>
      <c r="B38" s="42" t="str">
        <f>IFERROR('Data Input'!B33/'Data Input'!B29,"-")</f>
        <v>-</v>
      </c>
      <c r="C38" s="42" t="str">
        <f>IFERROR('Data Input'!C33/'Data Input'!C29,"-")</f>
        <v>-</v>
      </c>
      <c r="D38" s="42" t="str">
        <f>IFERROR('Data Input'!D33/'Data Input'!D29,"-")</f>
        <v>-</v>
      </c>
      <c r="E38" s="42" t="str">
        <f>IFERROR('Data Input'!E33/'Data Input'!E29,"-")</f>
        <v>-</v>
      </c>
      <c r="F38" s="42" t="str">
        <f>IFERROR('Data Input'!F33/'Data Input'!F29,"-")</f>
        <v>-</v>
      </c>
      <c r="G38" s="42" t="str">
        <f>IFERROR(AVERAGE(B38:F38),"-")</f>
        <v>-</v>
      </c>
    </row>
    <row r="39" spans="1:7" ht="15" customHeight="1" x14ac:dyDescent="0.25">
      <c r="A39" s="55" t="s">
        <v>92</v>
      </c>
      <c r="B39" s="42" t="str">
        <f>IFERROR('Data Input'!B35/'Data Input'!B29,"-")</f>
        <v>-</v>
      </c>
      <c r="C39" s="42" t="str">
        <f>IFERROR('Data Input'!C35/'Data Input'!C29,"-")</f>
        <v>-</v>
      </c>
      <c r="D39" s="42" t="str">
        <f>IFERROR('Data Input'!D35/'Data Input'!D29,"-")</f>
        <v>-</v>
      </c>
      <c r="E39" s="42" t="str">
        <f>IFERROR('Data Input'!E35/'Data Input'!E29,"-")</f>
        <v>-</v>
      </c>
      <c r="F39" s="42" t="str">
        <f>IFERROR('Data Input'!F35/'Data Input'!F29,"-")</f>
        <v>-</v>
      </c>
      <c r="G39" s="42" t="str">
        <f>IFERROR(AVERAGE(B39:F39),"-")</f>
        <v>-</v>
      </c>
    </row>
    <row r="40" spans="1:7" ht="15" customHeight="1" x14ac:dyDescent="0.25">
      <c r="A40" s="48" t="s">
        <v>96</v>
      </c>
      <c r="B40" s="64" t="str">
        <f>IFERROR('Data Input'!B37/'Data Input'!B29,"-")</f>
        <v>-</v>
      </c>
      <c r="C40" s="64" t="str">
        <f>IFERROR('Data Input'!C37/'Data Input'!C29,"-")</f>
        <v>-</v>
      </c>
      <c r="D40" s="64" t="str">
        <f>IFERROR('Data Input'!D37/'Data Input'!D29,"-")</f>
        <v>-</v>
      </c>
      <c r="E40" s="64" t="str">
        <f>IFERROR('Data Input'!E37/'Data Input'!E29,"-")</f>
        <v>-</v>
      </c>
      <c r="F40" s="64" t="str">
        <f>IFERROR('Data Input'!F37/'Data Input'!F29,"-")</f>
        <v>-</v>
      </c>
      <c r="G40" s="64" t="str">
        <f>IFERROR(AVERAGE(B40:F40),"-")</f>
        <v>-</v>
      </c>
    </row>
    <row r="42" spans="1:7" ht="15" customHeight="1" x14ac:dyDescent="0.25">
      <c r="A42" s="55" t="s">
        <v>97</v>
      </c>
      <c r="B42" s="42" t="str">
        <f>IFERROR('Data Input'!B39/'Data Input'!B29,"-")</f>
        <v>-</v>
      </c>
      <c r="C42" s="42" t="str">
        <f>IFERROR('Data Input'!C39/'Data Input'!C29,"-")</f>
        <v>-</v>
      </c>
      <c r="D42" s="42" t="str">
        <f>IFERROR('Data Input'!D39/'Data Input'!D29,"-")</f>
        <v>-</v>
      </c>
      <c r="E42" s="42" t="str">
        <f>IFERROR('Data Input'!E39/'Data Input'!E29,"-")</f>
        <v>-</v>
      </c>
      <c r="F42" s="42" t="str">
        <f>IFERROR('Data Input'!F39/'Data Input'!F29,"-")</f>
        <v>-</v>
      </c>
      <c r="G42" s="42" t="str">
        <f>IFERROR(AVERAGE(B42:F42),"-")</f>
        <v>-</v>
      </c>
    </row>
    <row r="43" spans="1:7" ht="15" customHeight="1" x14ac:dyDescent="0.25">
      <c r="A43" s="48" t="s">
        <v>103</v>
      </c>
      <c r="B43" s="64" t="str">
        <f>IFERROR('Data Input'!B42/'Data Input'!B29,"-")</f>
        <v>-</v>
      </c>
      <c r="C43" s="64" t="str">
        <f>IFERROR('Data Input'!C42/'Data Input'!C29,"-")</f>
        <v>-</v>
      </c>
      <c r="D43" s="64" t="str">
        <f>IFERROR('Data Input'!D42/'Data Input'!D29,"-")</f>
        <v>-</v>
      </c>
      <c r="E43" s="64" t="str">
        <f>IFERROR('Data Input'!E42/'Data Input'!E29,"-")</f>
        <v>-</v>
      </c>
      <c r="F43" s="64" t="str">
        <f>IFERROR('Data Input'!F42/'Data Input'!F29,"-")</f>
        <v>-</v>
      </c>
      <c r="G43" s="64" t="str">
        <f>IFERROR(AVERAGE(B43:F43),"-")</f>
        <v>-</v>
      </c>
    </row>
    <row r="45" spans="1:7" ht="15" customHeight="1" x14ac:dyDescent="0.25">
      <c r="A45" s="55" t="s">
        <v>104</v>
      </c>
      <c r="B45" s="42" t="str">
        <f>IFERROR('Data Input'!B44/'Data Input'!B29,"-")</f>
        <v>-</v>
      </c>
      <c r="C45" s="42" t="str">
        <f>IFERROR('Data Input'!C44/'Data Input'!C29,"-")</f>
        <v>-</v>
      </c>
      <c r="D45" s="42" t="str">
        <f>IFERROR('Data Input'!D44/'Data Input'!D29,"-")</f>
        <v>-</v>
      </c>
      <c r="E45" s="42" t="str">
        <f>IFERROR('Data Input'!E44/'Data Input'!E29,"-")</f>
        <v>-</v>
      </c>
      <c r="F45" s="42" t="str">
        <f>IFERROR('Data Input'!F44/'Data Input'!F29,"-")</f>
        <v>-</v>
      </c>
      <c r="G45" s="42" t="str">
        <f>IFERROR(AVERAGE(B45:F45),"-")</f>
        <v>-</v>
      </c>
    </row>
    <row r="46" spans="1:7" ht="15" customHeight="1" x14ac:dyDescent="0.25">
      <c r="A46" s="55" t="s">
        <v>106</v>
      </c>
      <c r="B46" s="42" t="str">
        <f>IFERROR('Data Input'!B45/'Data Input'!B29,"-")</f>
        <v>-</v>
      </c>
      <c r="C46" s="42" t="str">
        <f>IFERROR('Data Input'!C45/'Data Input'!C29,"-")</f>
        <v>-</v>
      </c>
      <c r="D46" s="42" t="str">
        <f>IFERROR('Data Input'!D45/'Data Input'!D29,"-")</f>
        <v>-</v>
      </c>
      <c r="E46" s="42" t="str">
        <f>IFERROR('Data Input'!E45/'Data Input'!E29,"-")</f>
        <v>-</v>
      </c>
      <c r="F46" s="42" t="str">
        <f>IFERROR('Data Input'!F45/'Data Input'!F29,"-")</f>
        <v>-</v>
      </c>
      <c r="G46" s="42" t="str">
        <f>IFERROR(AVERAGE(B46:F46),"-")</f>
        <v>-</v>
      </c>
    </row>
    <row r="47" spans="1:7" ht="15" customHeight="1" x14ac:dyDescent="0.25">
      <c r="A47" s="48" t="s">
        <v>408</v>
      </c>
      <c r="B47" s="64" t="str">
        <f>IFERROR('Data Input'!B47/'Data Input'!B29,"-")</f>
        <v>-</v>
      </c>
      <c r="C47" s="64" t="str">
        <f>IFERROR('Data Input'!C47/'Data Input'!C29,"-")</f>
        <v>-</v>
      </c>
      <c r="D47" s="64" t="str">
        <f>IFERROR('Data Input'!D47/'Data Input'!D29,"-")</f>
        <v>-</v>
      </c>
      <c r="E47" s="64" t="str">
        <f>IFERROR('Data Input'!E47/'Data Input'!E29,"-")</f>
        <v>-</v>
      </c>
      <c r="F47" s="64" t="str">
        <f>IFERROR('Data Input'!F47/'Data Input'!F29,"-")</f>
        <v>-</v>
      </c>
      <c r="G47" s="64" t="str">
        <f>IFERROR(AVERAGE(B47:F47),"-")</f>
        <v>-</v>
      </c>
    </row>
    <row r="49" spans="1:10" ht="15" customHeight="1" x14ac:dyDescent="0.25">
      <c r="A49" s="5" t="s">
        <v>170</v>
      </c>
      <c r="B49" s="5"/>
      <c r="C49" s="5"/>
      <c r="D49" s="5"/>
      <c r="E49" s="5"/>
      <c r="F49" s="5"/>
      <c r="G49" s="5"/>
      <c r="H49" s="66"/>
      <c r="I49" s="66"/>
      <c r="J49" s="66"/>
    </row>
  </sheetData>
  <sheetProtection algorithmName="SHA-512" hashValue="aqWagVq4QkC03Jd66FNb2ezE04RVOUrEkfsjnlah3Ydzioa40oq32VcswkEKbwqtjTNrQbvTse2CdTKVPeIfWQ==" saltValue="Rp8ecwRH65wsWtXIVEtKBw==" spinCount="100000" sheet="1"/>
  <mergeCells count="5">
    <mergeCell ref="A1:G2"/>
    <mergeCell ref="A3:G3"/>
    <mergeCell ref="A6:G6"/>
    <mergeCell ref="A23:G23"/>
    <mergeCell ref="A49:G49"/>
  </mergeCells>
  <pageMargins left="0.5" right="0.5" top="0.75" bottom="0.75" header="0.3" footer="0.3"/>
  <pageSetup paperSize="9" fitToHeight="0" orientation="landscape" horizontalDpi="300" verticalDpi="300"/>
  <headerFooter>
    <oddHeader>&amp;C&amp;"Calibri,Bold"&amp;12 &amp;"Calibri,Regular"Financial Ratio Analysis Toolkit | CA Rushabh Jamdade</oddHeader>
    <oddFooter>&amp;LCA Rushabh Jamdade&amp;C&amp;D&amp;RPage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How to Use</vt:lpstr>
      <vt:lpstr>Data Input</vt:lpstr>
      <vt:lpstr>Ratio Analysis</vt:lpstr>
      <vt:lpstr>Fraud &amp; Distress Scores</vt:lpstr>
      <vt:lpstr>Health Dashboard</vt:lpstr>
      <vt:lpstr>Common-Size Analysis</vt:lpstr>
      <vt:lpstr>'Data Input'!Print_Area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Rushabh Jamdade</cp:lastModifiedBy>
  <cp:revision>0</cp:revision>
  <dcterms:created xsi:type="dcterms:W3CDTF">2026-04-03T09:08:54Z</dcterms:created>
  <dcterms:modified xsi:type="dcterms:W3CDTF">2026-04-03T10:32:26Z</dcterms:modified>
  <dc:language>en-US</dc:language>
</cp:coreProperties>
</file>